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导出学生论文信息2024071009072547927" sheetId="1" r:id="rId1"/>
  </sheets>
  <definedNames>
    <definedName name="_xlnm._FilterDatabase" localSheetId="0" hidden="1">导出学生论文信息2024071009072547927!$A$1:$W$197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<sst xmlns="http://schemas.openxmlformats.org/spreadsheetml/2006/main" count="793" uniqueCount="304">
  <si>
    <t>姓名</t>
  </si>
  <si>
    <t>学号</t>
  </si>
  <si>
    <t>学生电话</t>
  </si>
  <si>
    <t>班级</t>
  </si>
  <si>
    <t>年级</t>
  </si>
  <si>
    <t>站点</t>
  </si>
  <si>
    <t>层次</t>
  </si>
  <si>
    <t>专业</t>
  </si>
  <si>
    <t>学习形式</t>
  </si>
  <si>
    <t>指导老师</t>
  </si>
  <si>
    <t>导师来源</t>
  </si>
  <si>
    <t>导师电话号码</t>
  </si>
  <si>
    <t>导师邮箱号码</t>
  </si>
  <si>
    <t>学生选题</t>
  </si>
  <si>
    <t>研究方向</t>
  </si>
  <si>
    <t>关键词</t>
  </si>
  <si>
    <t>答辩方式</t>
  </si>
  <si>
    <t>上传论文（设计）类型</t>
  </si>
  <si>
    <t>撰写语种</t>
  </si>
  <si>
    <t>论文选题来源</t>
  </si>
  <si>
    <t>选题审核状态</t>
  </si>
  <si>
    <t>选题审核人</t>
  </si>
  <si>
    <t>选题审核时间</t>
  </si>
  <si>
    <t>开题报告</t>
  </si>
  <si>
    <t>初稿</t>
  </si>
  <si>
    <t>复稿</t>
  </si>
  <si>
    <t>终稿</t>
  </si>
  <si>
    <t>书面答辩状态</t>
  </si>
  <si>
    <t>进度计划表状态</t>
  </si>
  <si>
    <t>任务书状态</t>
  </si>
  <si>
    <t>论文声明状态</t>
  </si>
  <si>
    <t>13544300426</t>
  </si>
  <si>
    <t>电科大研究院</t>
  </si>
  <si>
    <t>13760168301</t>
  </si>
  <si>
    <t>121091933@qq.com</t>
  </si>
  <si>
    <t>18613194202</t>
  </si>
  <si>
    <t>13725890983</t>
  </si>
  <si>
    <t>120753601@qq.com</t>
  </si>
  <si>
    <t>13268232453</t>
  </si>
  <si>
    <t>13592760884</t>
  </si>
  <si>
    <t>1584156437@qq.com</t>
  </si>
  <si>
    <t>15362741505</t>
  </si>
  <si>
    <t>625704476@qq.com</t>
  </si>
  <si>
    <t>13580652337</t>
  </si>
  <si>
    <t>盛世教育</t>
  </si>
  <si>
    <t>18666642725</t>
  </si>
  <si>
    <t>18666642725@qq.com</t>
  </si>
  <si>
    <t>13542143484</t>
  </si>
  <si>
    <t>13416904213</t>
  </si>
  <si>
    <t>240785491@qq.com</t>
  </si>
  <si>
    <t>13411760442</t>
  </si>
  <si>
    <t>13928617765</t>
  </si>
  <si>
    <t>15989294448</t>
  </si>
  <si>
    <t>18363994231</t>
  </si>
  <si>
    <t>604529746@qq.com</t>
  </si>
  <si>
    <t>13826862343</t>
  </si>
  <si>
    <t>13822481195</t>
  </si>
  <si>
    <t>13265985799</t>
  </si>
  <si>
    <t>13265985799@qq.com</t>
  </si>
  <si>
    <t>13413390421</t>
  </si>
  <si>
    <t>13798151744</t>
  </si>
  <si>
    <t>13160904151</t>
  </si>
  <si>
    <t>18948041624</t>
  </si>
  <si>
    <t>13560276627</t>
  </si>
  <si>
    <t>13560276627@qq.com</t>
  </si>
  <si>
    <t>13242205446</t>
  </si>
  <si>
    <t>18218656201</t>
  </si>
  <si>
    <t>18218656201@qq.com</t>
  </si>
  <si>
    <t>15390924893</t>
  </si>
  <si>
    <t>18520983728</t>
  </si>
  <si>
    <t>13590960624</t>
  </si>
  <si>
    <t>18824963281</t>
  </si>
  <si>
    <t>18825371393</t>
  </si>
  <si>
    <t>15626914318</t>
  </si>
  <si>
    <t>13420203839</t>
  </si>
  <si>
    <t>13189284403</t>
  </si>
  <si>
    <t>18594209518</t>
  </si>
  <si>
    <t>13527164231</t>
  </si>
  <si>
    <t>15529581227</t>
  </si>
  <si>
    <t>164961257@qq.com</t>
  </si>
  <si>
    <t>18923303981</t>
  </si>
  <si>
    <t>15507667233</t>
  </si>
  <si>
    <t>15820875817</t>
  </si>
  <si>
    <t>393388909@qq.com</t>
  </si>
  <si>
    <t>13590872920</t>
  </si>
  <si>
    <t>15818283086</t>
  </si>
  <si>
    <t>13286328022</t>
  </si>
  <si>
    <t>13527181617</t>
  </si>
  <si>
    <t>13711235270</t>
  </si>
  <si>
    <t>13711235270@qq.com</t>
  </si>
  <si>
    <t>19965656857</t>
  </si>
  <si>
    <t>13516519668</t>
  </si>
  <si>
    <t>13178608103</t>
  </si>
  <si>
    <t>15919497856</t>
  </si>
  <si>
    <t>19878672082</t>
  </si>
  <si>
    <t>19878672082@qq.com</t>
  </si>
  <si>
    <t>15622177343</t>
  </si>
  <si>
    <t>13265021288</t>
  </si>
  <si>
    <t>13794606610</t>
  </si>
  <si>
    <t>18566106603</t>
  </si>
  <si>
    <t>164355761@qq.com</t>
  </si>
  <si>
    <t>15919071543</t>
  </si>
  <si>
    <t>19521224234</t>
  </si>
  <si>
    <t>18972877217</t>
  </si>
  <si>
    <t>704828329@qq.com</t>
  </si>
  <si>
    <t>13544558130</t>
  </si>
  <si>
    <t>13827740170</t>
  </si>
  <si>
    <t>13794528570</t>
  </si>
  <si>
    <t>15818294355</t>
  </si>
  <si>
    <t>545936543@qq.com</t>
  </si>
  <si>
    <t>13249991547</t>
  </si>
  <si>
    <t>13719822774</t>
  </si>
  <si>
    <t>13570991074</t>
  </si>
  <si>
    <t>13232374447</t>
  </si>
  <si>
    <t>13556294125</t>
  </si>
  <si>
    <t>13790283876</t>
  </si>
  <si>
    <t>13414812516</t>
  </si>
  <si>
    <t>13631370823</t>
  </si>
  <si>
    <t>13631370823@qq.com</t>
  </si>
  <si>
    <t>13229585450</t>
  </si>
  <si>
    <t>13178683612</t>
  </si>
  <si>
    <t>15820281361</t>
  </si>
  <si>
    <t>13060990446</t>
  </si>
  <si>
    <t>15113570344</t>
  </si>
  <si>
    <t>15992524279</t>
  </si>
  <si>
    <t>19898426786</t>
  </si>
  <si>
    <t>19879090228</t>
  </si>
  <si>
    <t>18902256975</t>
  </si>
  <si>
    <t>18339705899</t>
  </si>
  <si>
    <t>63171327@qq.com</t>
  </si>
  <si>
    <t>13702629526</t>
  </si>
  <si>
    <t>15622207791</t>
  </si>
  <si>
    <t>13266535273</t>
  </si>
  <si>
    <t>17865365627</t>
  </si>
  <si>
    <t>15521555800</t>
  </si>
  <si>
    <t>13553888751</t>
  </si>
  <si>
    <t>530118201@qq.com</t>
  </si>
  <si>
    <t>13420353666</t>
  </si>
  <si>
    <t>15625397088</t>
  </si>
  <si>
    <t>13631129891</t>
  </si>
  <si>
    <t>13712451178</t>
  </si>
  <si>
    <t>15707629779</t>
  </si>
  <si>
    <t>13539745588</t>
  </si>
  <si>
    <t>15112659889</t>
  </si>
  <si>
    <t>18765120882</t>
  </si>
  <si>
    <t>18765120882@qq.com</t>
  </si>
  <si>
    <t>15815566897</t>
  </si>
  <si>
    <t>13570137053</t>
  </si>
  <si>
    <t>15507635450</t>
  </si>
  <si>
    <t>13537038393</t>
  </si>
  <si>
    <t>13528289150</t>
  </si>
  <si>
    <t>15626858926</t>
  </si>
  <si>
    <t>15626858926@qq.com</t>
  </si>
  <si>
    <t>18664782612</t>
  </si>
  <si>
    <t>13148581687</t>
  </si>
  <si>
    <t>13631430118</t>
  </si>
  <si>
    <t>13631430118@qq.com</t>
  </si>
  <si>
    <t>13602855785</t>
  </si>
  <si>
    <t>13711223074</t>
  </si>
  <si>
    <t>13702389068</t>
  </si>
  <si>
    <t>15079924710</t>
  </si>
  <si>
    <t>18820785317</t>
  </si>
  <si>
    <t>15521295287</t>
  </si>
  <si>
    <t>18680190494</t>
  </si>
  <si>
    <t>13760554973</t>
  </si>
  <si>
    <t>18566291501</t>
  </si>
  <si>
    <t>465924364@qq.com</t>
  </si>
  <si>
    <t>18127979194</t>
  </si>
  <si>
    <t>18377710095</t>
  </si>
  <si>
    <t>13710995642</t>
  </si>
  <si>
    <t>13242596622</t>
  </si>
  <si>
    <t>13922515913</t>
  </si>
  <si>
    <t>15119824009</t>
  </si>
  <si>
    <t>15989695188</t>
  </si>
  <si>
    <t>332822780@qq.com</t>
  </si>
  <si>
    <t>13710140695</t>
  </si>
  <si>
    <t>13534784666</t>
  </si>
  <si>
    <t>13751346704</t>
  </si>
  <si>
    <t>371481482@qq.com</t>
  </si>
  <si>
    <t>18620003582</t>
  </si>
  <si>
    <t>13536013073</t>
  </si>
  <si>
    <t>13129858881</t>
  </si>
  <si>
    <t>13690859094</t>
  </si>
  <si>
    <t>13925423207</t>
  </si>
  <si>
    <t>13690587379</t>
  </si>
  <si>
    <t>13672685854</t>
  </si>
  <si>
    <t>18029917338</t>
  </si>
  <si>
    <t>13178693245</t>
  </si>
  <si>
    <t>18318756816</t>
  </si>
  <si>
    <t>13717297627</t>
  </si>
  <si>
    <t>13016307312</t>
  </si>
  <si>
    <t>15521321782</t>
  </si>
  <si>
    <t>15920030892</t>
  </si>
  <si>
    <t>15813155860</t>
  </si>
  <si>
    <t>13664925758</t>
  </si>
  <si>
    <t>13073036148</t>
  </si>
  <si>
    <t>13590990328</t>
  </si>
  <si>
    <t>13929592272</t>
  </si>
  <si>
    <t>13929592272@qq.com</t>
  </si>
  <si>
    <t>17666485715</t>
  </si>
  <si>
    <t>13794156404</t>
  </si>
  <si>
    <t>13427843382</t>
  </si>
  <si>
    <t>415621886@qq.com</t>
  </si>
  <si>
    <t>18988571737</t>
  </si>
  <si>
    <t>13249496655</t>
  </si>
  <si>
    <t>13539553013</t>
  </si>
  <si>
    <t>13822329641</t>
  </si>
  <si>
    <t>18928143358</t>
  </si>
  <si>
    <t>17363289737</t>
  </si>
  <si>
    <t>13510846112</t>
  </si>
  <si>
    <t>13790707332</t>
  </si>
  <si>
    <t>13169812102</t>
  </si>
  <si>
    <t>15920591226</t>
  </si>
  <si>
    <t>18938764611</t>
  </si>
  <si>
    <t>13631310678</t>
  </si>
  <si>
    <t>13631310678@qq.com</t>
  </si>
  <si>
    <t>18933868599</t>
  </si>
  <si>
    <t>13432577926</t>
  </si>
  <si>
    <t>13085857335</t>
  </si>
  <si>
    <t>13286336035</t>
  </si>
  <si>
    <t>13590883882</t>
  </si>
  <si>
    <t>13680266410</t>
  </si>
  <si>
    <t>13258431189</t>
  </si>
  <si>
    <t>13258431189@qq.com</t>
  </si>
  <si>
    <t>13928127321</t>
  </si>
  <si>
    <t>13178609701</t>
  </si>
  <si>
    <t>14737621680</t>
  </si>
  <si>
    <t>15602820058</t>
  </si>
  <si>
    <t>13435063395</t>
  </si>
  <si>
    <t>15118307893</t>
  </si>
  <si>
    <t>18576091902</t>
  </si>
  <si>
    <t>13727062055</t>
  </si>
  <si>
    <t>13431934097</t>
  </si>
  <si>
    <t>18928142892</t>
  </si>
  <si>
    <t>13425490031</t>
  </si>
  <si>
    <t>15875885151</t>
  </si>
  <si>
    <t>18824515095</t>
  </si>
  <si>
    <t>18028301838</t>
  </si>
  <si>
    <t>15079922182</t>
  </si>
  <si>
    <t>13560246162</t>
  </si>
  <si>
    <t>13560246162@qq.com</t>
  </si>
  <si>
    <t>13531863737</t>
  </si>
  <si>
    <t>18802596786</t>
  </si>
  <si>
    <t>18802596786@qq.com</t>
  </si>
  <si>
    <t>13590801224</t>
  </si>
  <si>
    <t>13178656836</t>
  </si>
  <si>
    <t>13427755866</t>
  </si>
  <si>
    <t>13420080606</t>
  </si>
  <si>
    <t>18813398899</t>
  </si>
  <si>
    <t>15917244100</t>
  </si>
  <si>
    <t>13527179900</t>
  </si>
  <si>
    <t>13710700319</t>
  </si>
  <si>
    <t>13710700319@qq.com</t>
  </si>
  <si>
    <t>13226654123</t>
  </si>
  <si>
    <t>18038748223</t>
  </si>
  <si>
    <t/>
  </si>
  <si>
    <t>18316099179</t>
  </si>
  <si>
    <t>18826000397</t>
  </si>
  <si>
    <t>13112163675</t>
  </si>
  <si>
    <t>17873547857</t>
  </si>
  <si>
    <t>13650307398</t>
  </si>
  <si>
    <t>yeyanliu@dgddt.com</t>
  </si>
  <si>
    <t>13432148951</t>
  </si>
  <si>
    <t>13217662712</t>
  </si>
  <si>
    <t>13712979526</t>
  </si>
  <si>
    <t>3228172042@qq.com</t>
  </si>
  <si>
    <t>13428284750</t>
  </si>
  <si>
    <t>13420013209</t>
  </si>
  <si>
    <t>13536002401</t>
  </si>
  <si>
    <t>18378163491</t>
  </si>
  <si>
    <t>19925992724</t>
  </si>
  <si>
    <t>15017515710</t>
  </si>
  <si>
    <t>13246593598</t>
  </si>
  <si>
    <t>15019908045</t>
  </si>
  <si>
    <t>13824737035</t>
  </si>
  <si>
    <t>13726270286</t>
  </si>
  <si>
    <t>13246028438</t>
  </si>
  <si>
    <t>13828026739</t>
  </si>
  <si>
    <t>13044265434</t>
  </si>
  <si>
    <t>13726103914</t>
  </si>
  <si>
    <t>13728289565</t>
  </si>
  <si>
    <t>545933543@qq.com</t>
  </si>
  <si>
    <t>13229127371</t>
  </si>
  <si>
    <t>13750152476</t>
  </si>
  <si>
    <t>18665003250</t>
  </si>
  <si>
    <t>18665003250@qq.com</t>
  </si>
  <si>
    <t>15728366358</t>
  </si>
  <si>
    <t>15602324805</t>
  </si>
  <si>
    <t>13202439287</t>
  </si>
  <si>
    <t>13560940357</t>
  </si>
  <si>
    <t>13435922775</t>
  </si>
  <si>
    <t>13580611114</t>
  </si>
  <si>
    <t>15766857687</t>
  </si>
  <si>
    <t>13826863442</t>
  </si>
  <si>
    <t>15015966348</t>
  </si>
  <si>
    <t>13826709005</t>
  </si>
  <si>
    <t>13926393344</t>
  </si>
  <si>
    <t>18219555662</t>
  </si>
  <si>
    <t>13107872995</t>
  </si>
  <si>
    <t>13418438802</t>
  </si>
  <si>
    <t>13257583311</t>
  </si>
  <si>
    <t>13826834072</t>
  </si>
  <si>
    <t>18718327129</t>
  </si>
  <si>
    <t>18825171112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</si>
</sst>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625704476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AE197"/>
  <sheetViews>
    <sheetView tabSelected="1" zoomScaleSheetLayoutView="60" workbookViewId="0">
      <selection activeCell="H45" sqref="H45"/>
    </sheetView>
  </sheetViews>
  <sheetFormatPr defaultColWidth="9" defaultRowHeight="13.5"/>
  <cols>
    <col min="3" max="3" width="12.625" customWidth="1"/>
    <col min="12" max="12" width="12.875" customWidth="1"/>
    <col min="13" max="13" width="20.375" customWidth="1"/>
  </cols>
  <sheetData>
    <row r="1" spans="1:3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>
      <c r="A2" t="str">
        <f>"刘卓睿"</f>
        <v>刘卓睿</v>
      </c>
      <c r="B2" t="str">
        <f>"2117111104009"</f>
        <v>2117111104009</v>
      </c>
      <c r="C2" t="s">
        <v>31</v>
      </c>
      <c r="D2" t="str">
        <f>"英语21180"</f>
        <v>英语21180</v>
      </c>
      <c r="E2" t="str">
        <f t="shared" ref="E2:E35" si="0">"2021"</f>
        <v>2021</v>
      </c>
      <c r="F2" t="str">
        <f t="shared" ref="F2:F65" si="1">"东莞电研院"</f>
        <v>东莞电研院</v>
      </c>
      <c r="G2" t="str">
        <f t="shared" ref="G2:G65" si="2">"专升本"</f>
        <v>专升本</v>
      </c>
      <c r="H2" t="str">
        <f>"英语"</f>
        <v>英语</v>
      </c>
      <c r="I2" t="str">
        <f t="shared" ref="I2:I9" si="3">"业余"</f>
        <v>业余</v>
      </c>
      <c r="J2" t="str">
        <f>"荣彩虹"</f>
        <v>荣彩虹</v>
      </c>
      <c r="K2" t="s">
        <v>32</v>
      </c>
      <c r="L2" t="s">
        <v>33</v>
      </c>
      <c r="M2" t="s">
        <v>34</v>
      </c>
      <c r="Q2" t="str">
        <f t="shared" ref="Q2:Q37" si="4">"未选择"</f>
        <v>未选择</v>
      </c>
      <c r="U2" t="str">
        <f t="shared" ref="U2:W2" si="5">"-"</f>
        <v>-</v>
      </c>
      <c r="V2" t="str">
        <f t="shared" si="5"/>
        <v>-</v>
      </c>
      <c r="W2" t="str">
        <f t="shared" si="5"/>
        <v>-</v>
      </c>
      <c r="X2" t="str">
        <f t="shared" ref="X2:X65" si="6">"未填写"</f>
        <v>未填写</v>
      </c>
      <c r="Y2" t="str">
        <f t="shared" ref="Y2:AA2" si="7">"未上传"</f>
        <v>未上传</v>
      </c>
      <c r="Z2" t="str">
        <f t="shared" si="7"/>
        <v>未上传</v>
      </c>
      <c r="AA2" t="str">
        <f t="shared" si="7"/>
        <v>未上传</v>
      </c>
      <c r="AB2" t="str">
        <f t="shared" ref="AB2:AB37" si="8">"非书面答辩"</f>
        <v>非书面答辩</v>
      </c>
      <c r="AC2" t="str">
        <f t="shared" ref="AC2:AC65" si="9">"学生未填写"</f>
        <v>学生未填写</v>
      </c>
      <c r="AD2" t="str">
        <f t="shared" ref="AD2:AD65" si="10">"未填写"</f>
        <v>未填写</v>
      </c>
      <c r="AE2" t="str">
        <f t="shared" ref="AE2:AE65" si="11">"未签名"</f>
        <v>未签名</v>
      </c>
    </row>
    <row r="3" spans="1:31">
      <c r="A3" t="str">
        <f>"陈锐荣"</f>
        <v>陈锐荣</v>
      </c>
      <c r="B3" t="str">
        <f>"2117111105002"</f>
        <v>2117111105002</v>
      </c>
      <c r="C3" t="s">
        <v>35</v>
      </c>
      <c r="D3" t="str">
        <f>"机械21110"</f>
        <v>机械21110</v>
      </c>
      <c r="E3" t="str">
        <f t="shared" si="0"/>
        <v>2021</v>
      </c>
      <c r="F3" t="str">
        <f t="shared" si="1"/>
        <v>东莞电研院</v>
      </c>
      <c r="G3" t="str">
        <f t="shared" si="2"/>
        <v>专升本</v>
      </c>
      <c r="H3" t="str">
        <f>"机械设计制造及其自动化"</f>
        <v>机械设计制造及其自动化</v>
      </c>
      <c r="I3" t="str">
        <f t="shared" si="3"/>
        <v>业余</v>
      </c>
      <c r="J3" t="str">
        <f>"何敏娜"</f>
        <v>何敏娜</v>
      </c>
      <c r="K3" t="s">
        <v>32</v>
      </c>
      <c r="L3" t="s">
        <v>36</v>
      </c>
      <c r="M3" t="s">
        <v>37</v>
      </c>
      <c r="Q3" t="str">
        <f t="shared" si="4"/>
        <v>未选择</v>
      </c>
      <c r="U3" t="str">
        <f t="shared" ref="U3:W3" si="12">"-"</f>
        <v>-</v>
      </c>
      <c r="V3" t="str">
        <f t="shared" si="12"/>
        <v>-</v>
      </c>
      <c r="W3" t="str">
        <f t="shared" si="12"/>
        <v>-</v>
      </c>
      <c r="X3" t="str">
        <f t="shared" si="6"/>
        <v>未填写</v>
      </c>
      <c r="Y3" t="str">
        <f t="shared" ref="Y3:AA3" si="13">"未上传"</f>
        <v>未上传</v>
      </c>
      <c r="Z3" t="str">
        <f t="shared" si="13"/>
        <v>未上传</v>
      </c>
      <c r="AA3" t="str">
        <f t="shared" si="13"/>
        <v>未上传</v>
      </c>
      <c r="AB3" t="str">
        <f t="shared" si="8"/>
        <v>非书面答辩</v>
      </c>
      <c r="AC3" t="str">
        <f t="shared" si="9"/>
        <v>学生未填写</v>
      </c>
      <c r="AD3" t="str">
        <f t="shared" si="10"/>
        <v>未填写</v>
      </c>
      <c r="AE3" t="str">
        <f t="shared" si="11"/>
        <v>未签名</v>
      </c>
    </row>
    <row r="4" spans="1:31">
      <c r="A4" t="str">
        <f>"钟嘉瑜"</f>
        <v>钟嘉瑜</v>
      </c>
      <c r="B4" t="str">
        <f>"2117111111030"</f>
        <v>2117111111030</v>
      </c>
      <c r="C4" t="s">
        <v>38</v>
      </c>
      <c r="D4" t="str">
        <f>"人力21143"</f>
        <v>人力21143</v>
      </c>
      <c r="E4" t="str">
        <f t="shared" si="0"/>
        <v>2021</v>
      </c>
      <c r="F4" t="str">
        <f t="shared" si="1"/>
        <v>东莞电研院</v>
      </c>
      <c r="G4" t="str">
        <f t="shared" si="2"/>
        <v>专升本</v>
      </c>
      <c r="H4" t="str">
        <f>"人力资源管理"</f>
        <v>人力资源管理</v>
      </c>
      <c r="I4" t="str">
        <f t="shared" si="3"/>
        <v>业余</v>
      </c>
      <c r="J4" t="str">
        <f>"莫日华"</f>
        <v>莫日华</v>
      </c>
      <c r="K4" t="s">
        <v>32</v>
      </c>
      <c r="L4" t="s">
        <v>39</v>
      </c>
      <c r="M4" t="s">
        <v>40</v>
      </c>
      <c r="Q4" t="str">
        <f t="shared" si="4"/>
        <v>未选择</v>
      </c>
      <c r="U4" t="str">
        <f t="shared" ref="U4:W4" si="14">"-"</f>
        <v>-</v>
      </c>
      <c r="V4" t="str">
        <f t="shared" si="14"/>
        <v>-</v>
      </c>
      <c r="W4" t="str">
        <f t="shared" si="14"/>
        <v>-</v>
      </c>
      <c r="X4" t="str">
        <f t="shared" si="6"/>
        <v>未填写</v>
      </c>
      <c r="Y4" t="str">
        <f t="shared" ref="Y4:AA4" si="15">"未上传"</f>
        <v>未上传</v>
      </c>
      <c r="Z4" t="str">
        <f t="shared" si="15"/>
        <v>未上传</v>
      </c>
      <c r="AA4" t="str">
        <f t="shared" si="15"/>
        <v>未上传</v>
      </c>
      <c r="AB4" t="str">
        <f t="shared" si="8"/>
        <v>非书面答辩</v>
      </c>
      <c r="AC4" t="str">
        <f t="shared" si="9"/>
        <v>学生未填写</v>
      </c>
      <c r="AD4" t="str">
        <f t="shared" si="10"/>
        <v>未填写</v>
      </c>
      <c r="AE4" t="str">
        <f t="shared" si="11"/>
        <v>未签名</v>
      </c>
    </row>
    <row r="5" spans="1:31">
      <c r="A5" t="str">
        <f>"陈剑飞"</f>
        <v>陈剑飞</v>
      </c>
      <c r="B5" t="str">
        <f>"2117112119003"</f>
        <v>2117112119003</v>
      </c>
      <c r="C5" t="s">
        <v>41</v>
      </c>
      <c r="D5" t="str">
        <f>"计机科技21239"</f>
        <v>计机科技21239</v>
      </c>
      <c r="E5" t="str">
        <f t="shared" si="0"/>
        <v>2021</v>
      </c>
      <c r="F5" t="str">
        <f t="shared" si="1"/>
        <v>东莞电研院</v>
      </c>
      <c r="G5" t="str">
        <f t="shared" si="2"/>
        <v>专升本</v>
      </c>
      <c r="H5" t="str">
        <f>"计算机科学与技术"</f>
        <v>计算机科学与技术</v>
      </c>
      <c r="I5" t="str">
        <f>"函授"</f>
        <v>函授</v>
      </c>
      <c r="J5" t="str">
        <f>"王求精"</f>
        <v>王求精</v>
      </c>
      <c r="K5" t="s">
        <v>32</v>
      </c>
      <c r="L5">
        <v>15818283086</v>
      </c>
      <c r="M5" s="1" t="s">
        <v>42</v>
      </c>
      <c r="Q5" t="str">
        <f t="shared" si="4"/>
        <v>未选择</v>
      </c>
      <c r="U5" t="str">
        <f t="shared" ref="U5:W5" si="16">"-"</f>
        <v>-</v>
      </c>
      <c r="V5" t="str">
        <f t="shared" si="16"/>
        <v>-</v>
      </c>
      <c r="W5" t="str">
        <f t="shared" si="16"/>
        <v>-</v>
      </c>
      <c r="X5" t="str">
        <f t="shared" si="6"/>
        <v>未填写</v>
      </c>
      <c r="Y5" t="str">
        <f t="shared" ref="Y5:AA5" si="17">"未上传"</f>
        <v>未上传</v>
      </c>
      <c r="Z5" t="str">
        <f t="shared" si="17"/>
        <v>未上传</v>
      </c>
      <c r="AA5" t="str">
        <f t="shared" si="17"/>
        <v>未上传</v>
      </c>
      <c r="AB5" t="str">
        <f t="shared" si="8"/>
        <v>非书面答辩</v>
      </c>
      <c r="AC5" t="str">
        <f t="shared" si="9"/>
        <v>学生未填写</v>
      </c>
      <c r="AD5" t="str">
        <f t="shared" si="10"/>
        <v>未填写</v>
      </c>
      <c r="AE5" t="str">
        <f t="shared" si="11"/>
        <v>未签名</v>
      </c>
    </row>
    <row r="6" hidden="1" spans="1:31">
      <c r="A6" t="str">
        <f>"蔡昕彤"</f>
        <v>蔡昕彤</v>
      </c>
      <c r="B6" t="str">
        <f>"2117211102001"</f>
        <v>2117211102001</v>
      </c>
      <c r="C6" t="s">
        <v>43</v>
      </c>
      <c r="D6" t="str">
        <f>"国贸21089"</f>
        <v>国贸21089</v>
      </c>
      <c r="E6" t="str">
        <f t="shared" si="0"/>
        <v>2021</v>
      </c>
      <c r="F6" t="str">
        <f t="shared" si="1"/>
        <v>东莞电研院</v>
      </c>
      <c r="G6" t="str">
        <f t="shared" si="2"/>
        <v>专升本</v>
      </c>
      <c r="H6" t="str">
        <f>"国际经济与贸易"</f>
        <v>国际经济与贸易</v>
      </c>
      <c r="I6" t="str">
        <f t="shared" si="3"/>
        <v>业余</v>
      </c>
      <c r="J6" t="str">
        <f>"陈雪铃"</f>
        <v>陈雪铃</v>
      </c>
      <c r="K6" t="s">
        <v>44</v>
      </c>
      <c r="L6" t="s">
        <v>45</v>
      </c>
      <c r="M6" t="s">
        <v>46</v>
      </c>
      <c r="Q6" t="str">
        <f t="shared" si="4"/>
        <v>未选择</v>
      </c>
      <c r="U6" t="str">
        <f t="shared" ref="U6:W6" si="18">"-"</f>
        <v>-</v>
      </c>
      <c r="V6" t="str">
        <f t="shared" si="18"/>
        <v>-</v>
      </c>
      <c r="W6" t="str">
        <f t="shared" si="18"/>
        <v>-</v>
      </c>
      <c r="X6" t="str">
        <f t="shared" si="6"/>
        <v>未填写</v>
      </c>
      <c r="Y6" t="str">
        <f t="shared" ref="Y6:AA6" si="19">"未上传"</f>
        <v>未上传</v>
      </c>
      <c r="Z6" t="str">
        <f t="shared" si="19"/>
        <v>未上传</v>
      </c>
      <c r="AA6" t="str">
        <f t="shared" si="19"/>
        <v>未上传</v>
      </c>
      <c r="AB6" t="str">
        <f t="shared" si="8"/>
        <v>非书面答辩</v>
      </c>
      <c r="AC6" t="str">
        <f t="shared" si="9"/>
        <v>学生未填写</v>
      </c>
      <c r="AD6" t="str">
        <f t="shared" si="10"/>
        <v>未填写</v>
      </c>
      <c r="AE6" t="str">
        <f t="shared" si="11"/>
        <v>未签名</v>
      </c>
    </row>
    <row r="7" spans="1:31">
      <c r="A7" t="str">
        <f>"梁小丽"</f>
        <v>梁小丽</v>
      </c>
      <c r="B7" t="str">
        <f>"2117211106006"</f>
        <v>2117211106006</v>
      </c>
      <c r="C7" t="s">
        <v>47</v>
      </c>
      <c r="D7" t="str">
        <f>"电气21021"</f>
        <v>电气21021</v>
      </c>
      <c r="E7" t="str">
        <f t="shared" si="0"/>
        <v>2021</v>
      </c>
      <c r="F7" t="str">
        <f t="shared" si="1"/>
        <v>东莞电研院</v>
      </c>
      <c r="G7" t="str">
        <f t="shared" si="2"/>
        <v>专升本</v>
      </c>
      <c r="H7" t="str">
        <f>"电气工程及其自动化"</f>
        <v>电气工程及其自动化</v>
      </c>
      <c r="I7" t="str">
        <f t="shared" si="3"/>
        <v>业余</v>
      </c>
      <c r="J7" t="str">
        <f>"母国才"</f>
        <v>母国才</v>
      </c>
      <c r="K7" t="s">
        <v>32</v>
      </c>
      <c r="L7" t="s">
        <v>48</v>
      </c>
      <c r="M7" t="s">
        <v>49</v>
      </c>
      <c r="Q7" t="str">
        <f t="shared" si="4"/>
        <v>未选择</v>
      </c>
      <c r="U7" t="str">
        <f t="shared" ref="U7:W7" si="20">"-"</f>
        <v>-</v>
      </c>
      <c r="V7" t="str">
        <f t="shared" si="20"/>
        <v>-</v>
      </c>
      <c r="W7" t="str">
        <f t="shared" si="20"/>
        <v>-</v>
      </c>
      <c r="X7" t="str">
        <f t="shared" si="6"/>
        <v>未填写</v>
      </c>
      <c r="Y7" t="str">
        <f t="shared" ref="Y7:AA7" si="21">"未上传"</f>
        <v>未上传</v>
      </c>
      <c r="Z7" t="str">
        <f t="shared" si="21"/>
        <v>未上传</v>
      </c>
      <c r="AA7" t="str">
        <f t="shared" si="21"/>
        <v>未上传</v>
      </c>
      <c r="AB7" t="str">
        <f t="shared" si="8"/>
        <v>非书面答辩</v>
      </c>
      <c r="AC7" t="str">
        <f t="shared" si="9"/>
        <v>学生未填写</v>
      </c>
      <c r="AD7" t="str">
        <f t="shared" si="10"/>
        <v>未填写</v>
      </c>
      <c r="AE7" t="str">
        <f t="shared" si="11"/>
        <v>未签名</v>
      </c>
    </row>
    <row r="8" spans="1:31">
      <c r="A8" t="str">
        <f>"梁海媚"</f>
        <v>梁海媚</v>
      </c>
      <c r="B8" t="str">
        <f>"2117211111006"</f>
        <v>2117211111006</v>
      </c>
      <c r="C8" t="s">
        <v>50</v>
      </c>
      <c r="D8" t="str">
        <f>"人力21144"</f>
        <v>人力21144</v>
      </c>
      <c r="E8" t="str">
        <f t="shared" si="0"/>
        <v>2021</v>
      </c>
      <c r="F8" t="str">
        <f t="shared" si="1"/>
        <v>东莞电研院</v>
      </c>
      <c r="G8" t="str">
        <f t="shared" si="2"/>
        <v>专升本</v>
      </c>
      <c r="H8" t="str">
        <f>"人力资源管理"</f>
        <v>人力资源管理</v>
      </c>
      <c r="I8" t="str">
        <f t="shared" si="3"/>
        <v>业余</v>
      </c>
      <c r="J8" t="str">
        <f>"莫日华"</f>
        <v>莫日华</v>
      </c>
      <c r="K8" t="s">
        <v>32</v>
      </c>
      <c r="L8" t="s">
        <v>39</v>
      </c>
      <c r="M8" t="s">
        <v>40</v>
      </c>
      <c r="Q8" t="str">
        <f t="shared" si="4"/>
        <v>未选择</v>
      </c>
      <c r="U8" t="str">
        <f t="shared" ref="U8:W8" si="22">"-"</f>
        <v>-</v>
      </c>
      <c r="V8" t="str">
        <f t="shared" si="22"/>
        <v>-</v>
      </c>
      <c r="W8" t="str">
        <f t="shared" si="22"/>
        <v>-</v>
      </c>
      <c r="X8" t="str">
        <f t="shared" si="6"/>
        <v>未填写</v>
      </c>
      <c r="Y8" t="str">
        <f t="shared" ref="Y8:AA8" si="23">"未上传"</f>
        <v>未上传</v>
      </c>
      <c r="Z8" t="str">
        <f t="shared" si="23"/>
        <v>未上传</v>
      </c>
      <c r="AA8" t="str">
        <f t="shared" si="23"/>
        <v>未上传</v>
      </c>
      <c r="AB8" t="str">
        <f t="shared" si="8"/>
        <v>非书面答辩</v>
      </c>
      <c r="AC8" t="str">
        <f t="shared" si="9"/>
        <v>学生未填写</v>
      </c>
      <c r="AD8" t="str">
        <f t="shared" si="10"/>
        <v>未填写</v>
      </c>
      <c r="AE8" t="str">
        <f t="shared" si="11"/>
        <v>未签名</v>
      </c>
    </row>
    <row r="9" spans="1:31">
      <c r="A9" t="str">
        <f>"卢志文"</f>
        <v>卢志文</v>
      </c>
      <c r="B9" t="str">
        <f>"2117211115002"</f>
        <v>2117211115002</v>
      </c>
      <c r="C9" t="s">
        <v>51</v>
      </c>
      <c r="D9" t="str">
        <f>"视觉传达21157"</f>
        <v>视觉传达21157</v>
      </c>
      <c r="E9" t="str">
        <f t="shared" si="0"/>
        <v>2021</v>
      </c>
      <c r="F9" t="str">
        <f t="shared" si="1"/>
        <v>东莞电研院</v>
      </c>
      <c r="G9" t="str">
        <f t="shared" si="2"/>
        <v>专升本</v>
      </c>
      <c r="H9" t="str">
        <f>"视觉传达设计"</f>
        <v>视觉传达设计</v>
      </c>
      <c r="I9" t="str">
        <f t="shared" si="3"/>
        <v>业余</v>
      </c>
      <c r="J9" t="str">
        <f>"王求精"</f>
        <v>王求精</v>
      </c>
      <c r="K9" t="s">
        <v>32</v>
      </c>
      <c r="L9">
        <v>15818283086</v>
      </c>
      <c r="M9" s="1" t="s">
        <v>42</v>
      </c>
      <c r="Q9" t="str">
        <f t="shared" si="4"/>
        <v>未选择</v>
      </c>
      <c r="U9" t="str">
        <f t="shared" ref="U9:W9" si="24">"-"</f>
        <v>-</v>
      </c>
      <c r="V9" t="str">
        <f t="shared" si="24"/>
        <v>-</v>
      </c>
      <c r="W9" t="str">
        <f t="shared" si="24"/>
        <v>-</v>
      </c>
      <c r="X9" t="str">
        <f t="shared" si="6"/>
        <v>未填写</v>
      </c>
      <c r="Y9" t="str">
        <f t="shared" ref="Y9:AA9" si="25">"未上传"</f>
        <v>未上传</v>
      </c>
      <c r="Z9" t="str">
        <f t="shared" si="25"/>
        <v>未上传</v>
      </c>
      <c r="AA9" t="str">
        <f t="shared" si="25"/>
        <v>未上传</v>
      </c>
      <c r="AB9" t="str">
        <f t="shared" si="8"/>
        <v>非书面答辩</v>
      </c>
      <c r="AC9" t="str">
        <f t="shared" si="9"/>
        <v>学生未填写</v>
      </c>
      <c r="AD9" t="str">
        <f t="shared" si="10"/>
        <v>未填写</v>
      </c>
      <c r="AE9" t="str">
        <f t="shared" si="11"/>
        <v>未签名</v>
      </c>
    </row>
    <row r="10" hidden="1" spans="1:31">
      <c r="A10" t="str">
        <f>"龚俊僖"</f>
        <v>龚俊僖</v>
      </c>
      <c r="B10" t="str">
        <f>"2117212117005"</f>
        <v>2117212117005</v>
      </c>
      <c r="C10" t="s">
        <v>52</v>
      </c>
      <c r="D10" t="str">
        <f>"工管21209"</f>
        <v>工管21209</v>
      </c>
      <c r="E10" t="str">
        <f t="shared" si="0"/>
        <v>2021</v>
      </c>
      <c r="F10" t="str">
        <f t="shared" si="1"/>
        <v>东莞电研院</v>
      </c>
      <c r="G10" t="str">
        <f t="shared" si="2"/>
        <v>专升本</v>
      </c>
      <c r="H10" t="str">
        <f>"工商管理"</f>
        <v>工商管理</v>
      </c>
      <c r="I10" t="str">
        <f t="shared" ref="I10:I15" si="26">"函授"</f>
        <v>函授</v>
      </c>
      <c r="J10" t="str">
        <f>"石晟瑛"</f>
        <v>石晟瑛</v>
      </c>
      <c r="K10" t="s">
        <v>44</v>
      </c>
      <c r="L10" t="s">
        <v>53</v>
      </c>
      <c r="M10" t="s">
        <v>54</v>
      </c>
      <c r="Q10" t="str">
        <f t="shared" si="4"/>
        <v>未选择</v>
      </c>
      <c r="U10" t="str">
        <f t="shared" ref="U10:W10" si="27">"-"</f>
        <v>-</v>
      </c>
      <c r="V10" t="str">
        <f t="shared" si="27"/>
        <v>-</v>
      </c>
      <c r="W10" t="str">
        <f t="shared" si="27"/>
        <v>-</v>
      </c>
      <c r="X10" t="str">
        <f t="shared" si="6"/>
        <v>未填写</v>
      </c>
      <c r="Y10" t="str">
        <f t="shared" ref="Y10:AA10" si="28">"未上传"</f>
        <v>未上传</v>
      </c>
      <c r="Z10" t="str">
        <f t="shared" si="28"/>
        <v>未上传</v>
      </c>
      <c r="AA10" t="str">
        <f t="shared" si="28"/>
        <v>未上传</v>
      </c>
      <c r="AB10" t="str">
        <f t="shared" si="8"/>
        <v>非书面答辩</v>
      </c>
      <c r="AC10" t="str">
        <f t="shared" si="9"/>
        <v>学生未填写</v>
      </c>
      <c r="AD10" t="str">
        <f t="shared" si="10"/>
        <v>未填写</v>
      </c>
      <c r="AE10" t="str">
        <f t="shared" si="11"/>
        <v>未签名</v>
      </c>
    </row>
    <row r="11" hidden="1" spans="1:31">
      <c r="A11" t="str">
        <f>"温康达"</f>
        <v>温康达</v>
      </c>
      <c r="B11" t="str">
        <f>"2117212117021"</f>
        <v>2117212117021</v>
      </c>
      <c r="C11" t="s">
        <v>55</v>
      </c>
      <c r="D11" t="str">
        <f>"工管21209"</f>
        <v>工管21209</v>
      </c>
      <c r="E11" t="str">
        <f t="shared" si="0"/>
        <v>2021</v>
      </c>
      <c r="F11" t="str">
        <f t="shared" si="1"/>
        <v>东莞电研院</v>
      </c>
      <c r="G11" t="str">
        <f t="shared" si="2"/>
        <v>专升本</v>
      </c>
      <c r="H11" t="str">
        <f>"工商管理"</f>
        <v>工商管理</v>
      </c>
      <c r="I11" t="str">
        <f t="shared" si="26"/>
        <v>函授</v>
      </c>
      <c r="J11" t="str">
        <f>"石晟瑛"</f>
        <v>石晟瑛</v>
      </c>
      <c r="K11" t="s">
        <v>44</v>
      </c>
      <c r="L11" t="s">
        <v>53</v>
      </c>
      <c r="M11" t="s">
        <v>54</v>
      </c>
      <c r="Q11" t="str">
        <f t="shared" si="4"/>
        <v>未选择</v>
      </c>
      <c r="U11" t="str">
        <f t="shared" ref="U11:W11" si="29">"-"</f>
        <v>-</v>
      </c>
      <c r="V11" t="str">
        <f t="shared" si="29"/>
        <v>-</v>
      </c>
      <c r="W11" t="str">
        <f t="shared" si="29"/>
        <v>-</v>
      </c>
      <c r="X11" t="str">
        <f t="shared" si="6"/>
        <v>未填写</v>
      </c>
      <c r="Y11" t="str">
        <f t="shared" ref="Y11:AA11" si="30">"未上传"</f>
        <v>未上传</v>
      </c>
      <c r="Z11" t="str">
        <f t="shared" si="30"/>
        <v>未上传</v>
      </c>
      <c r="AA11" t="str">
        <f t="shared" si="30"/>
        <v>未上传</v>
      </c>
      <c r="AB11" t="str">
        <f t="shared" si="8"/>
        <v>非书面答辩</v>
      </c>
      <c r="AC11" t="str">
        <f t="shared" si="9"/>
        <v>学生未填写</v>
      </c>
      <c r="AD11" t="str">
        <f t="shared" si="10"/>
        <v>未填写</v>
      </c>
      <c r="AE11" t="str">
        <f t="shared" si="11"/>
        <v>未签名</v>
      </c>
    </row>
    <row r="12" hidden="1" spans="1:31">
      <c r="A12" t="str">
        <f>"陈政杰"</f>
        <v>陈政杰</v>
      </c>
      <c r="B12" t="str">
        <f>"2117212118002"</f>
        <v>2117212118002</v>
      </c>
      <c r="C12" t="s">
        <v>56</v>
      </c>
      <c r="D12" t="str">
        <f t="shared" ref="D12:D15" si="31">"行管21222"</f>
        <v>行管21222</v>
      </c>
      <c r="E12" t="str">
        <f t="shared" si="0"/>
        <v>2021</v>
      </c>
      <c r="F12" t="str">
        <f t="shared" si="1"/>
        <v>东莞电研院</v>
      </c>
      <c r="G12" t="str">
        <f t="shared" si="2"/>
        <v>专升本</v>
      </c>
      <c r="H12" t="str">
        <f t="shared" ref="H12:H15" si="32">"行政管理"</f>
        <v>行政管理</v>
      </c>
      <c r="I12" t="str">
        <f t="shared" si="26"/>
        <v>函授</v>
      </c>
      <c r="J12" t="str">
        <f t="shared" ref="J12:J15" si="33">"赖雪健"</f>
        <v>赖雪健</v>
      </c>
      <c r="K12" t="s">
        <v>44</v>
      </c>
      <c r="L12" t="s">
        <v>57</v>
      </c>
      <c r="M12" t="s">
        <v>58</v>
      </c>
      <c r="Q12" t="str">
        <f t="shared" si="4"/>
        <v>未选择</v>
      </c>
      <c r="U12" t="str">
        <f t="shared" ref="U12:W12" si="34">"-"</f>
        <v>-</v>
      </c>
      <c r="V12" t="str">
        <f t="shared" si="34"/>
        <v>-</v>
      </c>
      <c r="W12" t="str">
        <f t="shared" si="34"/>
        <v>-</v>
      </c>
      <c r="X12" t="str">
        <f t="shared" si="6"/>
        <v>未填写</v>
      </c>
      <c r="Y12" t="str">
        <f t="shared" ref="Y12:AA12" si="35">"未上传"</f>
        <v>未上传</v>
      </c>
      <c r="Z12" t="str">
        <f t="shared" si="35"/>
        <v>未上传</v>
      </c>
      <c r="AA12" t="str">
        <f t="shared" si="35"/>
        <v>未上传</v>
      </c>
      <c r="AB12" t="str">
        <f t="shared" si="8"/>
        <v>非书面答辩</v>
      </c>
      <c r="AC12" t="str">
        <f t="shared" si="9"/>
        <v>学生未填写</v>
      </c>
      <c r="AD12" t="str">
        <f t="shared" si="10"/>
        <v>未填写</v>
      </c>
      <c r="AE12" t="str">
        <f t="shared" si="11"/>
        <v>未签名</v>
      </c>
    </row>
    <row r="13" hidden="1" spans="1:31">
      <c r="A13" t="str">
        <f>"黄戈壁"</f>
        <v>黄戈壁</v>
      </c>
      <c r="B13" t="str">
        <f>"2117212118005"</f>
        <v>2117212118005</v>
      </c>
      <c r="C13" t="s">
        <v>59</v>
      </c>
      <c r="D13" t="str">
        <f t="shared" si="31"/>
        <v>行管21222</v>
      </c>
      <c r="E13" t="str">
        <f t="shared" si="0"/>
        <v>2021</v>
      </c>
      <c r="F13" t="str">
        <f t="shared" si="1"/>
        <v>东莞电研院</v>
      </c>
      <c r="G13" t="str">
        <f t="shared" si="2"/>
        <v>专升本</v>
      </c>
      <c r="H13" t="str">
        <f t="shared" si="32"/>
        <v>行政管理</v>
      </c>
      <c r="I13" t="str">
        <f t="shared" si="26"/>
        <v>函授</v>
      </c>
      <c r="J13" t="str">
        <f t="shared" si="33"/>
        <v>赖雪健</v>
      </c>
      <c r="K13" t="s">
        <v>44</v>
      </c>
      <c r="L13" t="s">
        <v>57</v>
      </c>
      <c r="M13" t="s">
        <v>58</v>
      </c>
      <c r="Q13" t="str">
        <f t="shared" si="4"/>
        <v>未选择</v>
      </c>
      <c r="U13" t="str">
        <f t="shared" ref="U13:W13" si="36">"-"</f>
        <v>-</v>
      </c>
      <c r="V13" t="str">
        <f t="shared" si="36"/>
        <v>-</v>
      </c>
      <c r="W13" t="str">
        <f t="shared" si="36"/>
        <v>-</v>
      </c>
      <c r="X13" t="str">
        <f t="shared" si="6"/>
        <v>未填写</v>
      </c>
      <c r="Y13" t="str">
        <f t="shared" ref="Y13:AA13" si="37">"未上传"</f>
        <v>未上传</v>
      </c>
      <c r="Z13" t="str">
        <f t="shared" si="37"/>
        <v>未上传</v>
      </c>
      <c r="AA13" t="str">
        <f t="shared" si="37"/>
        <v>未上传</v>
      </c>
      <c r="AB13" t="str">
        <f t="shared" si="8"/>
        <v>非书面答辩</v>
      </c>
      <c r="AC13" t="str">
        <f t="shared" si="9"/>
        <v>学生未填写</v>
      </c>
      <c r="AD13" t="str">
        <f t="shared" si="10"/>
        <v>未填写</v>
      </c>
      <c r="AE13" t="str">
        <f t="shared" si="11"/>
        <v>未签名</v>
      </c>
    </row>
    <row r="14" hidden="1" spans="1:31">
      <c r="A14" t="str">
        <f>"李璇"</f>
        <v>李璇</v>
      </c>
      <c r="B14" t="str">
        <f>"2117212118009"</f>
        <v>2117212118009</v>
      </c>
      <c r="C14" t="s">
        <v>60</v>
      </c>
      <c r="D14" t="str">
        <f t="shared" si="31"/>
        <v>行管21222</v>
      </c>
      <c r="E14" t="str">
        <f t="shared" si="0"/>
        <v>2021</v>
      </c>
      <c r="F14" t="str">
        <f t="shared" si="1"/>
        <v>东莞电研院</v>
      </c>
      <c r="G14" t="str">
        <f t="shared" si="2"/>
        <v>专升本</v>
      </c>
      <c r="H14" t="str">
        <f t="shared" si="32"/>
        <v>行政管理</v>
      </c>
      <c r="I14" t="str">
        <f t="shared" si="26"/>
        <v>函授</v>
      </c>
      <c r="J14" t="str">
        <f t="shared" si="33"/>
        <v>赖雪健</v>
      </c>
      <c r="K14" t="s">
        <v>44</v>
      </c>
      <c r="L14" t="s">
        <v>57</v>
      </c>
      <c r="M14" t="s">
        <v>58</v>
      </c>
      <c r="Q14" t="str">
        <f t="shared" si="4"/>
        <v>未选择</v>
      </c>
      <c r="U14" t="str">
        <f t="shared" ref="U14:W14" si="38">"-"</f>
        <v>-</v>
      </c>
      <c r="V14" t="str">
        <f t="shared" si="38"/>
        <v>-</v>
      </c>
      <c r="W14" t="str">
        <f t="shared" si="38"/>
        <v>-</v>
      </c>
      <c r="X14" t="str">
        <f t="shared" si="6"/>
        <v>未填写</v>
      </c>
      <c r="Y14" t="str">
        <f t="shared" ref="Y14:AA14" si="39">"未上传"</f>
        <v>未上传</v>
      </c>
      <c r="Z14" t="str">
        <f t="shared" si="39"/>
        <v>未上传</v>
      </c>
      <c r="AA14" t="str">
        <f t="shared" si="39"/>
        <v>未上传</v>
      </c>
      <c r="AB14" t="str">
        <f t="shared" si="8"/>
        <v>非书面答辩</v>
      </c>
      <c r="AC14" t="str">
        <f t="shared" si="9"/>
        <v>学生未填写</v>
      </c>
      <c r="AD14" t="str">
        <f t="shared" si="10"/>
        <v>未填写</v>
      </c>
      <c r="AE14" t="str">
        <f t="shared" si="11"/>
        <v>未签名</v>
      </c>
    </row>
    <row r="15" hidden="1" spans="1:31">
      <c r="A15" t="str">
        <f>"谢志权"</f>
        <v>谢志权</v>
      </c>
      <c r="B15" t="str">
        <f>"2117212118014"</f>
        <v>2117212118014</v>
      </c>
      <c r="C15" t="s">
        <v>61</v>
      </c>
      <c r="D15" t="str">
        <f t="shared" si="31"/>
        <v>行管21222</v>
      </c>
      <c r="E15" t="str">
        <f t="shared" si="0"/>
        <v>2021</v>
      </c>
      <c r="F15" t="str">
        <f t="shared" si="1"/>
        <v>东莞电研院</v>
      </c>
      <c r="G15" t="str">
        <f t="shared" si="2"/>
        <v>专升本</v>
      </c>
      <c r="H15" t="str">
        <f t="shared" si="32"/>
        <v>行政管理</v>
      </c>
      <c r="I15" t="str">
        <f t="shared" si="26"/>
        <v>函授</v>
      </c>
      <c r="J15" t="str">
        <f t="shared" si="33"/>
        <v>赖雪健</v>
      </c>
      <c r="K15" t="s">
        <v>44</v>
      </c>
      <c r="L15" t="s">
        <v>57</v>
      </c>
      <c r="M15" t="s">
        <v>58</v>
      </c>
      <c r="Q15" t="str">
        <f t="shared" si="4"/>
        <v>未选择</v>
      </c>
      <c r="U15" t="str">
        <f t="shared" ref="U15:W15" si="40">"-"</f>
        <v>-</v>
      </c>
      <c r="V15" t="str">
        <f t="shared" si="40"/>
        <v>-</v>
      </c>
      <c r="W15" t="str">
        <f t="shared" si="40"/>
        <v>-</v>
      </c>
      <c r="X15" t="str">
        <f t="shared" si="6"/>
        <v>未填写</v>
      </c>
      <c r="Y15" t="str">
        <f t="shared" ref="Y15:AA15" si="41">"未上传"</f>
        <v>未上传</v>
      </c>
      <c r="Z15" t="str">
        <f t="shared" si="41"/>
        <v>未上传</v>
      </c>
      <c r="AA15" t="str">
        <f t="shared" si="41"/>
        <v>未上传</v>
      </c>
      <c r="AB15" t="str">
        <f t="shared" si="8"/>
        <v>非书面答辩</v>
      </c>
      <c r="AC15" t="str">
        <f t="shared" si="9"/>
        <v>学生未填写</v>
      </c>
      <c r="AD15" t="str">
        <f t="shared" si="10"/>
        <v>未填写</v>
      </c>
      <c r="AE15" t="str">
        <f t="shared" si="11"/>
        <v>未签名</v>
      </c>
    </row>
    <row r="16" hidden="1" spans="1:31">
      <c r="A16" t="str">
        <f>"陈美佳"</f>
        <v>陈美佳</v>
      </c>
      <c r="B16" t="str">
        <f>"2117311103003"</f>
        <v>2117311103003</v>
      </c>
      <c r="C16" t="s">
        <v>62</v>
      </c>
      <c r="D16" t="str">
        <f>"法学21069"</f>
        <v>法学21069</v>
      </c>
      <c r="E16" t="str">
        <f t="shared" si="0"/>
        <v>2021</v>
      </c>
      <c r="F16" t="str">
        <f t="shared" si="1"/>
        <v>东莞电研院</v>
      </c>
      <c r="G16" t="str">
        <f t="shared" si="2"/>
        <v>专升本</v>
      </c>
      <c r="H16" t="str">
        <f>"法学"</f>
        <v>法学</v>
      </c>
      <c r="I16" t="str">
        <f t="shared" ref="I16:I28" si="42">"业余"</f>
        <v>业余</v>
      </c>
      <c r="J16" t="str">
        <f>"王颖卓"</f>
        <v>王颖卓</v>
      </c>
      <c r="K16" t="s">
        <v>44</v>
      </c>
      <c r="L16" t="s">
        <v>63</v>
      </c>
      <c r="M16" t="s">
        <v>64</v>
      </c>
      <c r="Q16" t="str">
        <f t="shared" si="4"/>
        <v>未选择</v>
      </c>
      <c r="U16" t="str">
        <f t="shared" ref="U16:W16" si="43">"-"</f>
        <v>-</v>
      </c>
      <c r="V16" t="str">
        <f t="shared" si="43"/>
        <v>-</v>
      </c>
      <c r="W16" t="str">
        <f t="shared" si="43"/>
        <v>-</v>
      </c>
      <c r="X16" t="str">
        <f t="shared" si="6"/>
        <v>未填写</v>
      </c>
      <c r="Y16" t="str">
        <f t="shared" ref="Y16:AA16" si="44">"未上传"</f>
        <v>未上传</v>
      </c>
      <c r="Z16" t="str">
        <f t="shared" si="44"/>
        <v>未上传</v>
      </c>
      <c r="AA16" t="str">
        <f t="shared" si="44"/>
        <v>未上传</v>
      </c>
      <c r="AB16" t="str">
        <f t="shared" si="8"/>
        <v>非书面答辩</v>
      </c>
      <c r="AC16" t="str">
        <f t="shared" si="9"/>
        <v>学生未填写</v>
      </c>
      <c r="AD16" t="str">
        <f t="shared" si="10"/>
        <v>未填写</v>
      </c>
      <c r="AE16" t="str">
        <f t="shared" si="11"/>
        <v>未签名</v>
      </c>
    </row>
    <row r="17" hidden="1" spans="1:31">
      <c r="A17" t="str">
        <f>"石如芳"</f>
        <v>石如芳</v>
      </c>
      <c r="B17" t="str">
        <f>"2117411101009"</f>
        <v>2117411101009</v>
      </c>
      <c r="C17" t="s">
        <v>65</v>
      </c>
      <c r="D17" t="str">
        <f t="shared" ref="D17:D19" si="45">"金融21129"</f>
        <v>金融21129</v>
      </c>
      <c r="E17" t="str">
        <f t="shared" si="0"/>
        <v>2021</v>
      </c>
      <c r="F17" t="str">
        <f t="shared" si="1"/>
        <v>东莞电研院</v>
      </c>
      <c r="G17" t="str">
        <f t="shared" si="2"/>
        <v>专升本</v>
      </c>
      <c r="H17" t="str">
        <f t="shared" ref="H17:H19" si="46">"金融学"</f>
        <v>金融学</v>
      </c>
      <c r="I17" t="str">
        <f t="shared" si="42"/>
        <v>业余</v>
      </c>
      <c r="J17" t="str">
        <f t="shared" ref="J17:J19" si="47">"陈雪欣"</f>
        <v>陈雪欣</v>
      </c>
      <c r="K17" t="s">
        <v>44</v>
      </c>
      <c r="L17" t="s">
        <v>66</v>
      </c>
      <c r="M17" t="s">
        <v>67</v>
      </c>
      <c r="Q17" t="str">
        <f t="shared" si="4"/>
        <v>未选择</v>
      </c>
      <c r="U17" t="str">
        <f t="shared" ref="U17:W17" si="48">"-"</f>
        <v>-</v>
      </c>
      <c r="V17" t="str">
        <f t="shared" si="48"/>
        <v>-</v>
      </c>
      <c r="W17" t="str">
        <f t="shared" si="48"/>
        <v>-</v>
      </c>
      <c r="X17" t="str">
        <f t="shared" si="6"/>
        <v>未填写</v>
      </c>
      <c r="Y17" t="str">
        <f t="shared" ref="Y17:AA17" si="49">"未上传"</f>
        <v>未上传</v>
      </c>
      <c r="Z17" t="str">
        <f t="shared" si="49"/>
        <v>未上传</v>
      </c>
      <c r="AA17" t="str">
        <f t="shared" si="49"/>
        <v>未上传</v>
      </c>
      <c r="AB17" t="str">
        <f t="shared" si="8"/>
        <v>非书面答辩</v>
      </c>
      <c r="AC17" t="str">
        <f t="shared" si="9"/>
        <v>学生未填写</v>
      </c>
      <c r="AD17" t="str">
        <f t="shared" si="10"/>
        <v>未填写</v>
      </c>
      <c r="AE17" t="str">
        <f t="shared" si="11"/>
        <v>未签名</v>
      </c>
    </row>
    <row r="18" hidden="1" spans="1:31">
      <c r="A18" t="str">
        <f>"郑伟良"</f>
        <v>郑伟良</v>
      </c>
      <c r="B18" t="str">
        <f>"2117411101017"</f>
        <v>2117411101017</v>
      </c>
      <c r="C18" t="s">
        <v>68</v>
      </c>
      <c r="D18" t="str">
        <f t="shared" si="45"/>
        <v>金融21129</v>
      </c>
      <c r="E18" t="str">
        <f t="shared" si="0"/>
        <v>2021</v>
      </c>
      <c r="F18" t="str">
        <f t="shared" si="1"/>
        <v>东莞电研院</v>
      </c>
      <c r="G18" t="str">
        <f t="shared" si="2"/>
        <v>专升本</v>
      </c>
      <c r="H18" t="str">
        <f t="shared" si="46"/>
        <v>金融学</v>
      </c>
      <c r="I18" t="str">
        <f t="shared" si="42"/>
        <v>业余</v>
      </c>
      <c r="J18" t="str">
        <f t="shared" si="47"/>
        <v>陈雪欣</v>
      </c>
      <c r="K18" t="s">
        <v>44</v>
      </c>
      <c r="L18" t="s">
        <v>66</v>
      </c>
      <c r="M18" t="s">
        <v>67</v>
      </c>
      <c r="Q18" t="str">
        <f t="shared" si="4"/>
        <v>未选择</v>
      </c>
      <c r="U18" t="str">
        <f t="shared" ref="U18:W18" si="50">"-"</f>
        <v>-</v>
      </c>
      <c r="V18" t="str">
        <f t="shared" si="50"/>
        <v>-</v>
      </c>
      <c r="W18" t="str">
        <f t="shared" si="50"/>
        <v>-</v>
      </c>
      <c r="X18" t="str">
        <f t="shared" si="6"/>
        <v>未填写</v>
      </c>
      <c r="Y18" t="str">
        <f t="shared" ref="Y18:AA18" si="51">"未上传"</f>
        <v>未上传</v>
      </c>
      <c r="Z18" t="str">
        <f t="shared" si="51"/>
        <v>未上传</v>
      </c>
      <c r="AA18" t="str">
        <f t="shared" si="51"/>
        <v>未上传</v>
      </c>
      <c r="AB18" t="str">
        <f t="shared" si="8"/>
        <v>非书面答辩</v>
      </c>
      <c r="AC18" t="str">
        <f t="shared" si="9"/>
        <v>学生未填写</v>
      </c>
      <c r="AD18" t="str">
        <f t="shared" si="10"/>
        <v>未填写</v>
      </c>
      <c r="AE18" t="str">
        <f t="shared" si="11"/>
        <v>未签名</v>
      </c>
    </row>
    <row r="19" hidden="1" spans="1:31">
      <c r="A19" t="str">
        <f>"周泽宇"</f>
        <v>周泽宇</v>
      </c>
      <c r="B19" t="str">
        <f>"2117411101019"</f>
        <v>2117411101019</v>
      </c>
      <c r="C19" t="s">
        <v>69</v>
      </c>
      <c r="D19" t="str">
        <f t="shared" si="45"/>
        <v>金融21129</v>
      </c>
      <c r="E19" t="str">
        <f t="shared" si="0"/>
        <v>2021</v>
      </c>
      <c r="F19" t="str">
        <f t="shared" si="1"/>
        <v>东莞电研院</v>
      </c>
      <c r="G19" t="str">
        <f t="shared" si="2"/>
        <v>专升本</v>
      </c>
      <c r="H19" t="str">
        <f t="shared" si="46"/>
        <v>金融学</v>
      </c>
      <c r="I19" t="str">
        <f t="shared" si="42"/>
        <v>业余</v>
      </c>
      <c r="J19" t="str">
        <f t="shared" si="47"/>
        <v>陈雪欣</v>
      </c>
      <c r="K19" t="s">
        <v>44</v>
      </c>
      <c r="L19" t="s">
        <v>66</v>
      </c>
      <c r="M19" t="s">
        <v>67</v>
      </c>
      <c r="Q19" t="str">
        <f t="shared" si="4"/>
        <v>未选择</v>
      </c>
      <c r="U19" t="str">
        <f t="shared" ref="U19:W19" si="52">"-"</f>
        <v>-</v>
      </c>
      <c r="V19" t="str">
        <f t="shared" si="52"/>
        <v>-</v>
      </c>
      <c r="W19" t="str">
        <f t="shared" si="52"/>
        <v>-</v>
      </c>
      <c r="X19" t="str">
        <f t="shared" si="6"/>
        <v>未填写</v>
      </c>
      <c r="Y19" t="str">
        <f t="shared" ref="Y19:AA19" si="53">"未上传"</f>
        <v>未上传</v>
      </c>
      <c r="Z19" t="str">
        <f t="shared" si="53"/>
        <v>未上传</v>
      </c>
      <c r="AA19" t="str">
        <f t="shared" si="53"/>
        <v>未上传</v>
      </c>
      <c r="AB19" t="str">
        <f t="shared" si="8"/>
        <v>非书面答辩</v>
      </c>
      <c r="AC19" t="str">
        <f t="shared" si="9"/>
        <v>学生未填写</v>
      </c>
      <c r="AD19" t="str">
        <f t="shared" si="10"/>
        <v>未填写</v>
      </c>
      <c r="AE19" t="str">
        <f t="shared" si="11"/>
        <v>未签名</v>
      </c>
    </row>
    <row r="20" hidden="1" spans="1:31">
      <c r="A20" t="str">
        <f>"叶子媚"</f>
        <v>叶子媚</v>
      </c>
      <c r="B20" t="str">
        <f>"2117411103040"</f>
        <v>2117411103040</v>
      </c>
      <c r="C20" t="s">
        <v>70</v>
      </c>
      <c r="D20" t="str">
        <f>"法学21070"</f>
        <v>法学21070</v>
      </c>
      <c r="E20" t="str">
        <f t="shared" si="0"/>
        <v>2021</v>
      </c>
      <c r="F20" t="str">
        <f t="shared" si="1"/>
        <v>东莞电研院</v>
      </c>
      <c r="G20" t="str">
        <f t="shared" si="2"/>
        <v>专升本</v>
      </c>
      <c r="H20" t="str">
        <f>"法学"</f>
        <v>法学</v>
      </c>
      <c r="I20" t="str">
        <f t="shared" si="42"/>
        <v>业余</v>
      </c>
      <c r="J20" t="str">
        <f>"王颖卓"</f>
        <v>王颖卓</v>
      </c>
      <c r="K20" t="s">
        <v>44</v>
      </c>
      <c r="L20" t="s">
        <v>63</v>
      </c>
      <c r="M20" t="s">
        <v>64</v>
      </c>
      <c r="Q20" t="str">
        <f t="shared" si="4"/>
        <v>未选择</v>
      </c>
      <c r="U20" t="str">
        <f t="shared" ref="U20:W20" si="54">"-"</f>
        <v>-</v>
      </c>
      <c r="V20" t="str">
        <f t="shared" si="54"/>
        <v>-</v>
      </c>
      <c r="W20" t="str">
        <f t="shared" si="54"/>
        <v>-</v>
      </c>
      <c r="X20" t="str">
        <f t="shared" si="6"/>
        <v>未填写</v>
      </c>
      <c r="Y20" t="str">
        <f t="shared" ref="Y20:AA20" si="55">"未上传"</f>
        <v>未上传</v>
      </c>
      <c r="Z20" t="str">
        <f t="shared" si="55"/>
        <v>未上传</v>
      </c>
      <c r="AA20" t="str">
        <f t="shared" si="55"/>
        <v>未上传</v>
      </c>
      <c r="AB20" t="str">
        <f t="shared" si="8"/>
        <v>非书面答辩</v>
      </c>
      <c r="AC20" t="str">
        <f t="shared" si="9"/>
        <v>学生未填写</v>
      </c>
      <c r="AD20" t="str">
        <f t="shared" si="10"/>
        <v>未填写</v>
      </c>
      <c r="AE20" t="str">
        <f t="shared" si="11"/>
        <v>未签名</v>
      </c>
    </row>
    <row r="21" spans="1:31">
      <c r="A21" t="str">
        <f>"陈芷君"</f>
        <v>陈芷君</v>
      </c>
      <c r="B21" t="str">
        <f>"2117411104003"</f>
        <v>2117411104003</v>
      </c>
      <c r="C21" t="s">
        <v>71</v>
      </c>
      <c r="D21" t="str">
        <f t="shared" ref="D21:D23" si="56">"英语21183"</f>
        <v>英语21183</v>
      </c>
      <c r="E21" t="str">
        <f t="shared" si="0"/>
        <v>2021</v>
      </c>
      <c r="F21" t="str">
        <f t="shared" si="1"/>
        <v>东莞电研院</v>
      </c>
      <c r="G21" t="str">
        <f t="shared" si="2"/>
        <v>专升本</v>
      </c>
      <c r="H21" t="str">
        <f t="shared" ref="H21:H23" si="57">"英语"</f>
        <v>英语</v>
      </c>
      <c r="I21" t="str">
        <f t="shared" si="42"/>
        <v>业余</v>
      </c>
      <c r="J21" t="str">
        <f t="shared" ref="J21:J23" si="58">"荣彩虹"</f>
        <v>荣彩虹</v>
      </c>
      <c r="K21" t="s">
        <v>32</v>
      </c>
      <c r="L21" t="s">
        <v>33</v>
      </c>
      <c r="M21" t="s">
        <v>34</v>
      </c>
      <c r="Q21" t="str">
        <f t="shared" si="4"/>
        <v>未选择</v>
      </c>
      <c r="U21" t="str">
        <f t="shared" ref="U21:W21" si="59">"-"</f>
        <v>-</v>
      </c>
      <c r="V21" t="str">
        <f t="shared" si="59"/>
        <v>-</v>
      </c>
      <c r="W21" t="str">
        <f t="shared" si="59"/>
        <v>-</v>
      </c>
      <c r="X21" t="str">
        <f t="shared" si="6"/>
        <v>未填写</v>
      </c>
      <c r="Y21" t="str">
        <f t="shared" ref="Y21:AA21" si="60">"未上传"</f>
        <v>未上传</v>
      </c>
      <c r="Z21" t="str">
        <f t="shared" si="60"/>
        <v>未上传</v>
      </c>
      <c r="AA21" t="str">
        <f t="shared" si="60"/>
        <v>未上传</v>
      </c>
      <c r="AB21" t="str">
        <f t="shared" si="8"/>
        <v>非书面答辩</v>
      </c>
      <c r="AC21" t="str">
        <f t="shared" si="9"/>
        <v>学生未填写</v>
      </c>
      <c r="AD21" t="str">
        <f t="shared" si="10"/>
        <v>未填写</v>
      </c>
      <c r="AE21" t="str">
        <f t="shared" si="11"/>
        <v>未签名</v>
      </c>
    </row>
    <row r="22" spans="1:31">
      <c r="A22" t="str">
        <f>"李凌霄"</f>
        <v>李凌霄</v>
      </c>
      <c r="B22" t="str">
        <f>"2117411104009"</f>
        <v>2117411104009</v>
      </c>
      <c r="C22" t="s">
        <v>72</v>
      </c>
      <c r="D22" t="str">
        <f t="shared" si="56"/>
        <v>英语21183</v>
      </c>
      <c r="E22" t="str">
        <f t="shared" si="0"/>
        <v>2021</v>
      </c>
      <c r="F22" t="str">
        <f t="shared" si="1"/>
        <v>东莞电研院</v>
      </c>
      <c r="G22" t="str">
        <f t="shared" si="2"/>
        <v>专升本</v>
      </c>
      <c r="H22" t="str">
        <f t="shared" si="57"/>
        <v>英语</v>
      </c>
      <c r="I22" t="str">
        <f t="shared" si="42"/>
        <v>业余</v>
      </c>
      <c r="J22" t="str">
        <f t="shared" si="58"/>
        <v>荣彩虹</v>
      </c>
      <c r="K22" t="s">
        <v>32</v>
      </c>
      <c r="L22" t="s">
        <v>33</v>
      </c>
      <c r="M22" t="s">
        <v>34</v>
      </c>
      <c r="Q22" t="str">
        <f t="shared" si="4"/>
        <v>未选择</v>
      </c>
      <c r="U22" t="str">
        <f t="shared" ref="U22:W22" si="61">"-"</f>
        <v>-</v>
      </c>
      <c r="V22" t="str">
        <f t="shared" si="61"/>
        <v>-</v>
      </c>
      <c r="W22" t="str">
        <f t="shared" si="61"/>
        <v>-</v>
      </c>
      <c r="X22" t="str">
        <f t="shared" si="6"/>
        <v>未填写</v>
      </c>
      <c r="Y22" t="str">
        <f t="shared" ref="Y22:AA22" si="62">"未上传"</f>
        <v>未上传</v>
      </c>
      <c r="Z22" t="str">
        <f t="shared" si="62"/>
        <v>未上传</v>
      </c>
      <c r="AA22" t="str">
        <f t="shared" si="62"/>
        <v>未上传</v>
      </c>
      <c r="AB22" t="str">
        <f t="shared" si="8"/>
        <v>非书面答辩</v>
      </c>
      <c r="AC22" t="str">
        <f t="shared" si="9"/>
        <v>学生未填写</v>
      </c>
      <c r="AD22" t="str">
        <f t="shared" si="10"/>
        <v>未填写</v>
      </c>
      <c r="AE22" t="str">
        <f t="shared" si="11"/>
        <v>未签名</v>
      </c>
    </row>
    <row r="23" spans="1:31">
      <c r="A23" t="str">
        <f>"徐玉霞"</f>
        <v>徐玉霞</v>
      </c>
      <c r="B23" t="str">
        <f>"2117411104024"</f>
        <v>2117411104024</v>
      </c>
      <c r="C23" t="s">
        <v>73</v>
      </c>
      <c r="D23" t="str">
        <f t="shared" si="56"/>
        <v>英语21183</v>
      </c>
      <c r="E23" t="str">
        <f t="shared" si="0"/>
        <v>2021</v>
      </c>
      <c r="F23" t="str">
        <f t="shared" si="1"/>
        <v>东莞电研院</v>
      </c>
      <c r="G23" t="str">
        <f t="shared" si="2"/>
        <v>专升本</v>
      </c>
      <c r="H23" t="str">
        <f t="shared" si="57"/>
        <v>英语</v>
      </c>
      <c r="I23" t="str">
        <f t="shared" si="42"/>
        <v>业余</v>
      </c>
      <c r="J23" t="str">
        <f t="shared" si="58"/>
        <v>荣彩虹</v>
      </c>
      <c r="K23" t="s">
        <v>32</v>
      </c>
      <c r="L23" t="s">
        <v>33</v>
      </c>
      <c r="M23" t="s">
        <v>34</v>
      </c>
      <c r="Q23" t="str">
        <f t="shared" si="4"/>
        <v>未选择</v>
      </c>
      <c r="U23" t="str">
        <f t="shared" ref="U23:W23" si="63">"-"</f>
        <v>-</v>
      </c>
      <c r="V23" t="str">
        <f t="shared" si="63"/>
        <v>-</v>
      </c>
      <c r="W23" t="str">
        <f t="shared" si="63"/>
        <v>-</v>
      </c>
      <c r="X23" t="str">
        <f t="shared" si="6"/>
        <v>未填写</v>
      </c>
      <c r="Y23" t="str">
        <f t="shared" ref="Y23:AA23" si="64">"未上传"</f>
        <v>未上传</v>
      </c>
      <c r="Z23" t="str">
        <f t="shared" si="64"/>
        <v>未上传</v>
      </c>
      <c r="AA23" t="str">
        <f t="shared" si="64"/>
        <v>未上传</v>
      </c>
      <c r="AB23" t="str">
        <f t="shared" si="8"/>
        <v>非书面答辩</v>
      </c>
      <c r="AC23" t="str">
        <f t="shared" si="9"/>
        <v>学生未填写</v>
      </c>
      <c r="AD23" t="str">
        <f t="shared" si="10"/>
        <v>未填写</v>
      </c>
      <c r="AE23" t="str">
        <f t="shared" si="11"/>
        <v>未签名</v>
      </c>
    </row>
    <row r="24" spans="1:31">
      <c r="A24" t="str">
        <f>"杨梓荣"</f>
        <v>杨梓荣</v>
      </c>
      <c r="B24" t="str">
        <f>"2117411105010"</f>
        <v>2117411105010</v>
      </c>
      <c r="C24" t="s">
        <v>74</v>
      </c>
      <c r="D24" t="str">
        <f>"机械21113"</f>
        <v>机械21113</v>
      </c>
      <c r="E24" t="str">
        <f t="shared" si="0"/>
        <v>2021</v>
      </c>
      <c r="F24" t="str">
        <f t="shared" si="1"/>
        <v>东莞电研院</v>
      </c>
      <c r="G24" t="str">
        <f t="shared" si="2"/>
        <v>专升本</v>
      </c>
      <c r="H24" t="str">
        <f>"机械设计制造及其自动化"</f>
        <v>机械设计制造及其自动化</v>
      </c>
      <c r="I24" t="str">
        <f t="shared" si="42"/>
        <v>业余</v>
      </c>
      <c r="J24" t="str">
        <f>"何敏娜"</f>
        <v>何敏娜</v>
      </c>
      <c r="K24" t="s">
        <v>32</v>
      </c>
      <c r="L24" t="s">
        <v>36</v>
      </c>
      <c r="M24" t="s">
        <v>37</v>
      </c>
      <c r="Q24" t="str">
        <f t="shared" si="4"/>
        <v>未选择</v>
      </c>
      <c r="U24" t="str">
        <f t="shared" ref="U24:W24" si="65">"-"</f>
        <v>-</v>
      </c>
      <c r="V24" t="str">
        <f t="shared" si="65"/>
        <v>-</v>
      </c>
      <c r="W24" t="str">
        <f t="shared" si="65"/>
        <v>-</v>
      </c>
      <c r="X24" t="str">
        <f t="shared" si="6"/>
        <v>未填写</v>
      </c>
      <c r="Y24" t="str">
        <f t="shared" ref="Y24:AA24" si="66">"未上传"</f>
        <v>未上传</v>
      </c>
      <c r="Z24" t="str">
        <f t="shared" si="66"/>
        <v>未上传</v>
      </c>
      <c r="AA24" t="str">
        <f t="shared" si="66"/>
        <v>未上传</v>
      </c>
      <c r="AB24" t="str">
        <f t="shared" si="8"/>
        <v>非书面答辩</v>
      </c>
      <c r="AC24" t="str">
        <f t="shared" si="9"/>
        <v>学生未填写</v>
      </c>
      <c r="AD24" t="str">
        <f t="shared" si="10"/>
        <v>未填写</v>
      </c>
      <c r="AE24" t="str">
        <f t="shared" si="11"/>
        <v>未签名</v>
      </c>
    </row>
    <row r="25" spans="1:31">
      <c r="A25" t="str">
        <f>"梁凤敏"</f>
        <v>梁凤敏</v>
      </c>
      <c r="B25" t="str">
        <f>"2117411111014"</f>
        <v>2117411111014</v>
      </c>
      <c r="C25" t="s">
        <v>75</v>
      </c>
      <c r="D25" t="str">
        <f>"人力21146"</f>
        <v>人力21146</v>
      </c>
      <c r="E25" t="str">
        <f t="shared" si="0"/>
        <v>2021</v>
      </c>
      <c r="F25" t="str">
        <f t="shared" si="1"/>
        <v>东莞电研院</v>
      </c>
      <c r="G25" t="str">
        <f t="shared" si="2"/>
        <v>专升本</v>
      </c>
      <c r="H25" t="str">
        <f>"人力资源管理"</f>
        <v>人力资源管理</v>
      </c>
      <c r="I25" t="str">
        <f t="shared" si="42"/>
        <v>业余</v>
      </c>
      <c r="J25" t="str">
        <f>"莫日华"</f>
        <v>莫日华</v>
      </c>
      <c r="K25" t="s">
        <v>32</v>
      </c>
      <c r="L25" t="s">
        <v>39</v>
      </c>
      <c r="M25" t="s">
        <v>40</v>
      </c>
      <c r="Q25" t="str">
        <f t="shared" si="4"/>
        <v>未选择</v>
      </c>
      <c r="U25" t="str">
        <f t="shared" ref="U25:W25" si="67">"-"</f>
        <v>-</v>
      </c>
      <c r="V25" t="str">
        <f t="shared" si="67"/>
        <v>-</v>
      </c>
      <c r="W25" t="str">
        <f t="shared" si="67"/>
        <v>-</v>
      </c>
      <c r="X25" t="str">
        <f t="shared" si="6"/>
        <v>未填写</v>
      </c>
      <c r="Y25" t="str">
        <f t="shared" ref="Y25:AA25" si="68">"未上传"</f>
        <v>未上传</v>
      </c>
      <c r="Z25" t="str">
        <f t="shared" si="68"/>
        <v>未上传</v>
      </c>
      <c r="AA25" t="str">
        <f t="shared" si="68"/>
        <v>未上传</v>
      </c>
      <c r="AB25" t="str">
        <f t="shared" si="8"/>
        <v>非书面答辩</v>
      </c>
      <c r="AC25" t="str">
        <f t="shared" si="9"/>
        <v>学生未填写</v>
      </c>
      <c r="AD25" t="str">
        <f t="shared" si="10"/>
        <v>未填写</v>
      </c>
      <c r="AE25" t="str">
        <f t="shared" si="11"/>
        <v>未签名</v>
      </c>
    </row>
    <row r="26" spans="1:31">
      <c r="A26" t="str">
        <f>"张钧博"</f>
        <v>张钧博</v>
      </c>
      <c r="B26" t="str">
        <f>"2117411111028"</f>
        <v>2117411111028</v>
      </c>
      <c r="C26" t="s">
        <v>76</v>
      </c>
      <c r="D26" t="str">
        <f>"人力21146"</f>
        <v>人力21146</v>
      </c>
      <c r="E26" t="str">
        <f t="shared" si="0"/>
        <v>2021</v>
      </c>
      <c r="F26" t="str">
        <f t="shared" si="1"/>
        <v>东莞电研院</v>
      </c>
      <c r="G26" t="str">
        <f t="shared" si="2"/>
        <v>专升本</v>
      </c>
      <c r="H26" t="str">
        <f>"人力资源管理"</f>
        <v>人力资源管理</v>
      </c>
      <c r="I26" t="str">
        <f t="shared" si="42"/>
        <v>业余</v>
      </c>
      <c r="J26" t="str">
        <f>"莫日华"</f>
        <v>莫日华</v>
      </c>
      <c r="K26" t="s">
        <v>32</v>
      </c>
      <c r="L26" t="s">
        <v>39</v>
      </c>
      <c r="M26" t="s">
        <v>40</v>
      </c>
      <c r="Q26" t="str">
        <f t="shared" si="4"/>
        <v>未选择</v>
      </c>
      <c r="U26" t="str">
        <f t="shared" ref="U26:W26" si="69">"-"</f>
        <v>-</v>
      </c>
      <c r="V26" t="str">
        <f t="shared" si="69"/>
        <v>-</v>
      </c>
      <c r="W26" t="str">
        <f t="shared" si="69"/>
        <v>-</v>
      </c>
      <c r="X26" t="str">
        <f t="shared" si="6"/>
        <v>未填写</v>
      </c>
      <c r="Y26" t="str">
        <f t="shared" ref="Y26:AA26" si="70">"未上传"</f>
        <v>未上传</v>
      </c>
      <c r="Z26" t="str">
        <f t="shared" si="70"/>
        <v>未上传</v>
      </c>
      <c r="AA26" t="str">
        <f t="shared" si="70"/>
        <v>未上传</v>
      </c>
      <c r="AB26" t="str">
        <f t="shared" si="8"/>
        <v>非书面答辩</v>
      </c>
      <c r="AC26" t="str">
        <f t="shared" si="9"/>
        <v>学生未填写</v>
      </c>
      <c r="AD26" t="str">
        <f t="shared" si="10"/>
        <v>未填写</v>
      </c>
      <c r="AE26" t="str">
        <f t="shared" si="11"/>
        <v>未签名</v>
      </c>
    </row>
    <row r="27" spans="1:31">
      <c r="A27" t="str">
        <f>"陈文杰"</f>
        <v>陈文杰</v>
      </c>
      <c r="B27" t="str">
        <f>"2117411114001"</f>
        <v>2117411114001</v>
      </c>
      <c r="C27" t="s">
        <v>77</v>
      </c>
      <c r="D27" t="str">
        <f>"电商21037"</f>
        <v>电商21037</v>
      </c>
      <c r="E27" t="str">
        <f t="shared" si="0"/>
        <v>2021</v>
      </c>
      <c r="F27" t="str">
        <f t="shared" si="1"/>
        <v>东莞电研院</v>
      </c>
      <c r="G27" t="str">
        <f t="shared" si="2"/>
        <v>专升本</v>
      </c>
      <c r="H27" t="str">
        <f>"电子商务"</f>
        <v>电子商务</v>
      </c>
      <c r="I27" t="str">
        <f t="shared" si="42"/>
        <v>业余</v>
      </c>
      <c r="J27" t="str">
        <f>"曹厚华"</f>
        <v>曹厚华</v>
      </c>
      <c r="K27" t="s">
        <v>32</v>
      </c>
      <c r="L27" t="s">
        <v>78</v>
      </c>
      <c r="M27" t="s">
        <v>79</v>
      </c>
      <c r="Q27" t="str">
        <f t="shared" si="4"/>
        <v>未选择</v>
      </c>
      <c r="U27" t="str">
        <f t="shared" ref="U27:W27" si="71">"-"</f>
        <v>-</v>
      </c>
      <c r="V27" t="str">
        <f t="shared" si="71"/>
        <v>-</v>
      </c>
      <c r="W27" t="str">
        <f t="shared" si="71"/>
        <v>-</v>
      </c>
      <c r="X27" t="str">
        <f t="shared" si="6"/>
        <v>未填写</v>
      </c>
      <c r="Y27" t="str">
        <f t="shared" ref="Y27:AA27" si="72">"未上传"</f>
        <v>未上传</v>
      </c>
      <c r="Z27" t="str">
        <f t="shared" si="72"/>
        <v>未上传</v>
      </c>
      <c r="AA27" t="str">
        <f t="shared" si="72"/>
        <v>未上传</v>
      </c>
      <c r="AB27" t="str">
        <f t="shared" si="8"/>
        <v>非书面答辩</v>
      </c>
      <c r="AC27" t="str">
        <f t="shared" si="9"/>
        <v>学生未填写</v>
      </c>
      <c r="AD27" t="str">
        <f t="shared" si="10"/>
        <v>未填写</v>
      </c>
      <c r="AE27" t="str">
        <f t="shared" si="11"/>
        <v>未签名</v>
      </c>
    </row>
    <row r="28" spans="1:31">
      <c r="A28" t="str">
        <f>"吴其辉"</f>
        <v>吴其辉</v>
      </c>
      <c r="B28" t="str">
        <f>"2117411115021"</f>
        <v>2117411115021</v>
      </c>
      <c r="C28" t="s">
        <v>80</v>
      </c>
      <c r="D28" t="str">
        <f>"视觉传达21159"</f>
        <v>视觉传达21159</v>
      </c>
      <c r="E28" t="str">
        <f t="shared" si="0"/>
        <v>2021</v>
      </c>
      <c r="F28" t="str">
        <f t="shared" si="1"/>
        <v>东莞电研院</v>
      </c>
      <c r="G28" t="str">
        <f t="shared" si="2"/>
        <v>专升本</v>
      </c>
      <c r="H28" t="str">
        <f>"视觉传达设计"</f>
        <v>视觉传达设计</v>
      </c>
      <c r="I28" t="str">
        <f t="shared" si="42"/>
        <v>业余</v>
      </c>
      <c r="J28" t="str">
        <f>"王求精"</f>
        <v>王求精</v>
      </c>
      <c r="K28" t="s">
        <v>32</v>
      </c>
      <c r="L28">
        <v>15818283086</v>
      </c>
      <c r="M28" s="1" t="s">
        <v>42</v>
      </c>
      <c r="Q28" t="str">
        <f t="shared" si="4"/>
        <v>未选择</v>
      </c>
      <c r="U28" t="str">
        <f t="shared" ref="U28:W28" si="73">"-"</f>
        <v>-</v>
      </c>
      <c r="V28" t="str">
        <f t="shared" si="73"/>
        <v>-</v>
      </c>
      <c r="W28" t="str">
        <f t="shared" si="73"/>
        <v>-</v>
      </c>
      <c r="X28" t="str">
        <f t="shared" si="6"/>
        <v>未填写</v>
      </c>
      <c r="Y28" t="str">
        <f t="shared" ref="Y28:AA28" si="74">"未上传"</f>
        <v>未上传</v>
      </c>
      <c r="Z28" t="str">
        <f t="shared" si="74"/>
        <v>未上传</v>
      </c>
      <c r="AA28" t="str">
        <f t="shared" si="74"/>
        <v>未上传</v>
      </c>
      <c r="AB28" t="str">
        <f t="shared" si="8"/>
        <v>非书面答辩</v>
      </c>
      <c r="AC28" t="str">
        <f t="shared" si="9"/>
        <v>学生未填写</v>
      </c>
      <c r="AD28" t="str">
        <f t="shared" si="10"/>
        <v>未填写</v>
      </c>
      <c r="AE28" t="str">
        <f t="shared" si="11"/>
        <v>未签名</v>
      </c>
    </row>
    <row r="29" spans="1:31">
      <c r="A29" t="str">
        <f>"陈昱贤"</f>
        <v>陈昱贤</v>
      </c>
      <c r="B29" t="str">
        <f>"2117412116004"</f>
        <v>2117412116004</v>
      </c>
      <c r="C29" t="s">
        <v>81</v>
      </c>
      <c r="D29" t="str">
        <f>"财管21196"</f>
        <v>财管21196</v>
      </c>
      <c r="E29" t="str">
        <f t="shared" si="0"/>
        <v>2021</v>
      </c>
      <c r="F29" t="str">
        <f t="shared" si="1"/>
        <v>东莞电研院</v>
      </c>
      <c r="G29" t="str">
        <f t="shared" si="2"/>
        <v>专升本</v>
      </c>
      <c r="H29" t="str">
        <f>"财务管理"</f>
        <v>财务管理</v>
      </c>
      <c r="I29" t="str">
        <f t="shared" ref="I29:I35" si="75">"函授"</f>
        <v>函授</v>
      </c>
      <c r="J29" t="str">
        <f>"杨光"</f>
        <v>杨光</v>
      </c>
      <c r="K29" t="s">
        <v>32</v>
      </c>
      <c r="L29" t="s">
        <v>82</v>
      </c>
      <c r="M29" t="s">
        <v>83</v>
      </c>
      <c r="Q29" t="str">
        <f t="shared" si="4"/>
        <v>未选择</v>
      </c>
      <c r="U29" t="str">
        <f t="shared" ref="U29:W29" si="76">"-"</f>
        <v>-</v>
      </c>
      <c r="V29" t="str">
        <f t="shared" si="76"/>
        <v>-</v>
      </c>
      <c r="W29" t="str">
        <f t="shared" si="76"/>
        <v>-</v>
      </c>
      <c r="X29" t="str">
        <f t="shared" si="6"/>
        <v>未填写</v>
      </c>
      <c r="Y29" t="str">
        <f t="shared" ref="Y29:AA29" si="77">"未上传"</f>
        <v>未上传</v>
      </c>
      <c r="Z29" t="str">
        <f t="shared" si="77"/>
        <v>未上传</v>
      </c>
      <c r="AA29" t="str">
        <f t="shared" si="77"/>
        <v>未上传</v>
      </c>
      <c r="AB29" t="str">
        <f t="shared" si="8"/>
        <v>非书面答辩</v>
      </c>
      <c r="AC29" t="str">
        <f t="shared" si="9"/>
        <v>学生未填写</v>
      </c>
      <c r="AD29" t="str">
        <f t="shared" si="10"/>
        <v>未填写</v>
      </c>
      <c r="AE29" t="str">
        <f t="shared" si="11"/>
        <v>未签名</v>
      </c>
    </row>
    <row r="30" spans="1:31">
      <c r="A30" t="str">
        <f>"刘祖业"</f>
        <v>刘祖业</v>
      </c>
      <c r="B30" t="str">
        <f>"2117412116019"</f>
        <v>2117412116019</v>
      </c>
      <c r="C30" t="s">
        <v>84</v>
      </c>
      <c r="D30" t="str">
        <f>"财管21196"</f>
        <v>财管21196</v>
      </c>
      <c r="E30" t="str">
        <f t="shared" si="0"/>
        <v>2021</v>
      </c>
      <c r="F30" t="str">
        <f t="shared" si="1"/>
        <v>东莞电研院</v>
      </c>
      <c r="G30" t="str">
        <f t="shared" si="2"/>
        <v>专升本</v>
      </c>
      <c r="H30" t="str">
        <f>"财务管理"</f>
        <v>财务管理</v>
      </c>
      <c r="I30" t="str">
        <f t="shared" si="75"/>
        <v>函授</v>
      </c>
      <c r="J30" t="str">
        <f>"黄常喜"</f>
        <v>黄常喜</v>
      </c>
      <c r="K30" t="s">
        <v>32</v>
      </c>
      <c r="L30" t="s">
        <v>85</v>
      </c>
      <c r="M30" t="s">
        <v>42</v>
      </c>
      <c r="Q30" t="str">
        <f t="shared" si="4"/>
        <v>未选择</v>
      </c>
      <c r="U30" t="str">
        <f t="shared" ref="U30:W30" si="78">"-"</f>
        <v>-</v>
      </c>
      <c r="V30" t="str">
        <f t="shared" si="78"/>
        <v>-</v>
      </c>
      <c r="W30" t="str">
        <f t="shared" si="78"/>
        <v>-</v>
      </c>
      <c r="X30" t="str">
        <f t="shared" si="6"/>
        <v>未填写</v>
      </c>
      <c r="Y30" t="str">
        <f t="shared" ref="Y30:AA30" si="79">"未上传"</f>
        <v>未上传</v>
      </c>
      <c r="Z30" t="str">
        <f t="shared" si="79"/>
        <v>未上传</v>
      </c>
      <c r="AA30" t="str">
        <f t="shared" si="79"/>
        <v>未上传</v>
      </c>
      <c r="AB30" t="str">
        <f t="shared" si="8"/>
        <v>非书面答辩</v>
      </c>
      <c r="AC30" t="str">
        <f t="shared" si="9"/>
        <v>学生未填写</v>
      </c>
      <c r="AD30" t="str">
        <f t="shared" si="10"/>
        <v>未填写</v>
      </c>
      <c r="AE30" t="str">
        <f t="shared" si="11"/>
        <v>未签名</v>
      </c>
    </row>
    <row r="31" hidden="1" spans="1:31">
      <c r="A31" t="str">
        <f>"黄静莉"</f>
        <v>黄静莉</v>
      </c>
      <c r="B31" t="str">
        <f>"2117412117021"</f>
        <v>2117412117021</v>
      </c>
      <c r="C31" t="s">
        <v>86</v>
      </c>
      <c r="D31" t="str">
        <f t="shared" ref="D31:D34" si="80">"工管21211"</f>
        <v>工管21211</v>
      </c>
      <c r="E31" t="str">
        <f t="shared" si="0"/>
        <v>2021</v>
      </c>
      <c r="F31" t="str">
        <f t="shared" si="1"/>
        <v>东莞电研院</v>
      </c>
      <c r="G31" t="str">
        <f t="shared" si="2"/>
        <v>专升本</v>
      </c>
      <c r="H31" t="str">
        <f t="shared" ref="H31:H34" si="81">"工商管理"</f>
        <v>工商管理</v>
      </c>
      <c r="I31" t="str">
        <f t="shared" si="75"/>
        <v>函授</v>
      </c>
      <c r="J31" t="str">
        <f>"石晟瑛"</f>
        <v>石晟瑛</v>
      </c>
      <c r="K31" t="s">
        <v>44</v>
      </c>
      <c r="L31" t="s">
        <v>53</v>
      </c>
      <c r="M31" t="s">
        <v>54</v>
      </c>
      <c r="Q31" t="str">
        <f t="shared" si="4"/>
        <v>未选择</v>
      </c>
      <c r="U31" t="str">
        <f t="shared" ref="U31:W31" si="82">"-"</f>
        <v>-</v>
      </c>
      <c r="V31" t="str">
        <f t="shared" si="82"/>
        <v>-</v>
      </c>
      <c r="W31" t="str">
        <f t="shared" si="82"/>
        <v>-</v>
      </c>
      <c r="X31" t="str">
        <f t="shared" si="6"/>
        <v>未填写</v>
      </c>
      <c r="Y31" t="str">
        <f t="shared" ref="Y31:AA31" si="83">"未上传"</f>
        <v>未上传</v>
      </c>
      <c r="Z31" t="str">
        <f t="shared" si="83"/>
        <v>未上传</v>
      </c>
      <c r="AA31" t="str">
        <f t="shared" si="83"/>
        <v>未上传</v>
      </c>
      <c r="AB31" t="str">
        <f t="shared" si="8"/>
        <v>非书面答辩</v>
      </c>
      <c r="AC31" t="str">
        <f t="shared" si="9"/>
        <v>学生未填写</v>
      </c>
      <c r="AD31" t="str">
        <f t="shared" si="10"/>
        <v>未填写</v>
      </c>
      <c r="AE31" t="str">
        <f t="shared" si="11"/>
        <v>未签名</v>
      </c>
    </row>
    <row r="32" hidden="1" spans="1:31">
      <c r="A32" t="str">
        <f>"袁庆忠"</f>
        <v>袁庆忠</v>
      </c>
      <c r="B32" t="str">
        <f>"2117412117066"</f>
        <v>2117412117066</v>
      </c>
      <c r="C32" t="s">
        <v>87</v>
      </c>
      <c r="D32" t="str">
        <f t="shared" si="80"/>
        <v>工管21211</v>
      </c>
      <c r="E32" t="str">
        <f t="shared" si="0"/>
        <v>2021</v>
      </c>
      <c r="F32" t="str">
        <f t="shared" si="1"/>
        <v>东莞电研院</v>
      </c>
      <c r="G32" t="str">
        <f t="shared" si="2"/>
        <v>专升本</v>
      </c>
      <c r="H32" t="str">
        <f t="shared" si="81"/>
        <v>工商管理</v>
      </c>
      <c r="I32" t="str">
        <f t="shared" si="75"/>
        <v>函授</v>
      </c>
      <c r="J32" t="str">
        <f t="shared" ref="J32:J34" si="84">"李美玲"</f>
        <v>李美玲</v>
      </c>
      <c r="K32" t="s">
        <v>44</v>
      </c>
      <c r="L32" t="s">
        <v>88</v>
      </c>
      <c r="M32" t="s">
        <v>89</v>
      </c>
      <c r="Q32" t="str">
        <f t="shared" si="4"/>
        <v>未选择</v>
      </c>
      <c r="U32" t="str">
        <f t="shared" ref="U32:W32" si="85">"-"</f>
        <v>-</v>
      </c>
      <c r="V32" t="str">
        <f t="shared" si="85"/>
        <v>-</v>
      </c>
      <c r="W32" t="str">
        <f t="shared" si="85"/>
        <v>-</v>
      </c>
      <c r="X32" t="str">
        <f t="shared" si="6"/>
        <v>未填写</v>
      </c>
      <c r="Y32" t="str">
        <f t="shared" ref="Y32:AA32" si="86">"未上传"</f>
        <v>未上传</v>
      </c>
      <c r="Z32" t="str">
        <f t="shared" si="86"/>
        <v>未上传</v>
      </c>
      <c r="AA32" t="str">
        <f t="shared" si="86"/>
        <v>未上传</v>
      </c>
      <c r="AB32" t="str">
        <f t="shared" si="8"/>
        <v>非书面答辩</v>
      </c>
      <c r="AC32" t="str">
        <f t="shared" si="9"/>
        <v>学生未填写</v>
      </c>
      <c r="AD32" t="str">
        <f t="shared" si="10"/>
        <v>未填写</v>
      </c>
      <c r="AE32" t="str">
        <f t="shared" si="11"/>
        <v>未签名</v>
      </c>
    </row>
    <row r="33" hidden="1" spans="1:31">
      <c r="A33" t="str">
        <f>"張娜娜"</f>
        <v>張娜娜</v>
      </c>
      <c r="B33" t="str">
        <f>"2117412117069"</f>
        <v>2117412117069</v>
      </c>
      <c r="C33" t="s">
        <v>90</v>
      </c>
      <c r="D33" t="str">
        <f t="shared" si="80"/>
        <v>工管21211</v>
      </c>
      <c r="E33" t="str">
        <f t="shared" si="0"/>
        <v>2021</v>
      </c>
      <c r="F33" t="str">
        <f t="shared" si="1"/>
        <v>东莞电研院</v>
      </c>
      <c r="G33" t="str">
        <f t="shared" si="2"/>
        <v>专升本</v>
      </c>
      <c r="H33" t="str">
        <f t="shared" si="81"/>
        <v>工商管理</v>
      </c>
      <c r="I33" t="str">
        <f t="shared" si="75"/>
        <v>函授</v>
      </c>
      <c r="J33" t="str">
        <f t="shared" si="84"/>
        <v>李美玲</v>
      </c>
      <c r="K33" t="s">
        <v>44</v>
      </c>
      <c r="L33" t="s">
        <v>88</v>
      </c>
      <c r="M33" t="s">
        <v>89</v>
      </c>
      <c r="Q33" t="str">
        <f t="shared" si="4"/>
        <v>未选择</v>
      </c>
      <c r="U33" t="str">
        <f t="shared" ref="U33:W33" si="87">"-"</f>
        <v>-</v>
      </c>
      <c r="V33" t="str">
        <f t="shared" si="87"/>
        <v>-</v>
      </c>
      <c r="W33" t="str">
        <f t="shared" si="87"/>
        <v>-</v>
      </c>
      <c r="X33" t="str">
        <f t="shared" si="6"/>
        <v>未填写</v>
      </c>
      <c r="Y33" t="str">
        <f t="shared" ref="Y33:AA33" si="88">"未上传"</f>
        <v>未上传</v>
      </c>
      <c r="Z33" t="str">
        <f t="shared" si="88"/>
        <v>未上传</v>
      </c>
      <c r="AA33" t="str">
        <f t="shared" si="88"/>
        <v>未上传</v>
      </c>
      <c r="AB33" t="str">
        <f t="shared" si="8"/>
        <v>非书面答辩</v>
      </c>
      <c r="AC33" t="str">
        <f t="shared" si="9"/>
        <v>学生未填写</v>
      </c>
      <c r="AD33" t="str">
        <f t="shared" si="10"/>
        <v>未填写</v>
      </c>
      <c r="AE33" t="str">
        <f t="shared" si="11"/>
        <v>未签名</v>
      </c>
    </row>
    <row r="34" hidden="1" spans="1:31">
      <c r="A34" t="str">
        <f>"钟丽冰"</f>
        <v>钟丽冰</v>
      </c>
      <c r="B34" t="str">
        <f>"2117412117076"</f>
        <v>2117412117076</v>
      </c>
      <c r="C34" t="s">
        <v>91</v>
      </c>
      <c r="D34" t="str">
        <f t="shared" si="80"/>
        <v>工管21211</v>
      </c>
      <c r="E34" t="str">
        <f t="shared" si="0"/>
        <v>2021</v>
      </c>
      <c r="F34" t="str">
        <f t="shared" si="1"/>
        <v>东莞电研院</v>
      </c>
      <c r="G34" t="str">
        <f t="shared" si="2"/>
        <v>专升本</v>
      </c>
      <c r="H34" t="str">
        <f t="shared" si="81"/>
        <v>工商管理</v>
      </c>
      <c r="I34" t="str">
        <f t="shared" si="75"/>
        <v>函授</v>
      </c>
      <c r="J34" t="str">
        <f t="shared" si="84"/>
        <v>李美玲</v>
      </c>
      <c r="K34" t="s">
        <v>44</v>
      </c>
      <c r="L34" t="s">
        <v>88</v>
      </c>
      <c r="M34" t="s">
        <v>89</v>
      </c>
      <c r="Q34" t="str">
        <f t="shared" si="4"/>
        <v>未选择</v>
      </c>
      <c r="U34" t="str">
        <f t="shared" ref="U34:W34" si="89">"-"</f>
        <v>-</v>
      </c>
      <c r="V34" t="str">
        <f t="shared" si="89"/>
        <v>-</v>
      </c>
      <c r="W34" t="str">
        <f t="shared" si="89"/>
        <v>-</v>
      </c>
      <c r="X34" t="str">
        <f t="shared" si="6"/>
        <v>未填写</v>
      </c>
      <c r="Y34" t="str">
        <f t="shared" ref="Y34:AA34" si="90">"未上传"</f>
        <v>未上传</v>
      </c>
      <c r="Z34" t="str">
        <f t="shared" si="90"/>
        <v>未上传</v>
      </c>
      <c r="AA34" t="str">
        <f t="shared" si="90"/>
        <v>未上传</v>
      </c>
      <c r="AB34" t="str">
        <f t="shared" si="8"/>
        <v>非书面答辩</v>
      </c>
      <c r="AC34" t="str">
        <f t="shared" si="9"/>
        <v>学生未填写</v>
      </c>
      <c r="AD34" t="str">
        <f t="shared" si="10"/>
        <v>未填写</v>
      </c>
      <c r="AE34" t="str">
        <f t="shared" si="11"/>
        <v>未签名</v>
      </c>
    </row>
    <row r="35" spans="1:31">
      <c r="A35" t="str">
        <f>"吴子豪"</f>
        <v>吴子豪</v>
      </c>
      <c r="B35" t="str">
        <f>"2117412119024"</f>
        <v>2117412119024</v>
      </c>
      <c r="C35" t="s">
        <v>92</v>
      </c>
      <c r="D35" t="str">
        <f>"计机科技21242"</f>
        <v>计机科技21242</v>
      </c>
      <c r="E35" t="str">
        <f t="shared" si="0"/>
        <v>2021</v>
      </c>
      <c r="F35" t="str">
        <f t="shared" si="1"/>
        <v>东莞电研院</v>
      </c>
      <c r="G35" t="str">
        <f t="shared" si="2"/>
        <v>专升本</v>
      </c>
      <c r="H35" t="str">
        <f>"计算机科学与技术"</f>
        <v>计算机科学与技术</v>
      </c>
      <c r="I35" t="str">
        <f t="shared" si="75"/>
        <v>函授</v>
      </c>
      <c r="J35" t="str">
        <f>"王求精"</f>
        <v>王求精</v>
      </c>
      <c r="K35" t="s">
        <v>32</v>
      </c>
      <c r="L35">
        <v>15818283086</v>
      </c>
      <c r="M35" s="1" t="s">
        <v>42</v>
      </c>
      <c r="Q35" t="str">
        <f t="shared" si="4"/>
        <v>未选择</v>
      </c>
      <c r="U35" t="str">
        <f t="shared" ref="U35:W35" si="91">"-"</f>
        <v>-</v>
      </c>
      <c r="V35" t="str">
        <f t="shared" si="91"/>
        <v>-</v>
      </c>
      <c r="W35" t="str">
        <f t="shared" si="91"/>
        <v>-</v>
      </c>
      <c r="X35" t="str">
        <f t="shared" si="6"/>
        <v>未填写</v>
      </c>
      <c r="Y35" t="str">
        <f t="shared" ref="Y35:AA35" si="92">"未上传"</f>
        <v>未上传</v>
      </c>
      <c r="Z35" t="str">
        <f t="shared" si="92"/>
        <v>未上传</v>
      </c>
      <c r="AA35" t="str">
        <f t="shared" si="92"/>
        <v>未上传</v>
      </c>
      <c r="AB35" t="str">
        <f t="shared" si="8"/>
        <v>非书面答辩</v>
      </c>
      <c r="AC35" t="str">
        <f t="shared" si="9"/>
        <v>学生未填写</v>
      </c>
      <c r="AD35" t="str">
        <f t="shared" si="10"/>
        <v>未填写</v>
      </c>
      <c r="AE35" t="str">
        <f t="shared" si="11"/>
        <v>未签名</v>
      </c>
    </row>
    <row r="36" hidden="1" spans="1:31">
      <c r="A36" t="str">
        <f>"陈普镇"</f>
        <v>陈普镇</v>
      </c>
      <c r="B36" t="str">
        <f>"2217111101003"</f>
        <v>2217111101003</v>
      </c>
      <c r="C36" t="s">
        <v>93</v>
      </c>
      <c r="D36" t="str">
        <f t="shared" ref="D36:D39" si="93">"金融22234"</f>
        <v>金融22234</v>
      </c>
      <c r="E36" t="str">
        <f t="shared" ref="E36:E99" si="94">"2022"</f>
        <v>2022</v>
      </c>
      <c r="F36" t="str">
        <f t="shared" si="1"/>
        <v>东莞电研院</v>
      </c>
      <c r="G36" t="str">
        <f t="shared" si="2"/>
        <v>专升本</v>
      </c>
      <c r="H36" t="str">
        <f t="shared" ref="H36:H39" si="95">"金融学"</f>
        <v>金融学</v>
      </c>
      <c r="I36" t="str">
        <f t="shared" ref="I36:I54" si="96">"业余"</f>
        <v>业余</v>
      </c>
      <c r="J36" t="str">
        <f t="shared" ref="J36:J38" si="97">"李晶菁"</f>
        <v>李晶菁</v>
      </c>
      <c r="K36" t="s">
        <v>44</v>
      </c>
      <c r="L36" t="s">
        <v>94</v>
      </c>
      <c r="M36" t="s">
        <v>95</v>
      </c>
      <c r="Q36" t="str">
        <f t="shared" si="4"/>
        <v>未选择</v>
      </c>
      <c r="U36" t="str">
        <f t="shared" ref="U36:W36" si="98">"-"</f>
        <v>-</v>
      </c>
      <c r="V36" t="str">
        <f t="shared" si="98"/>
        <v>-</v>
      </c>
      <c r="W36" t="str">
        <f t="shared" si="98"/>
        <v>-</v>
      </c>
      <c r="X36" t="str">
        <f t="shared" si="6"/>
        <v>未填写</v>
      </c>
      <c r="Y36" t="str">
        <f t="shared" ref="Y36:AA36" si="99">"未上传"</f>
        <v>未上传</v>
      </c>
      <c r="Z36" t="str">
        <f t="shared" si="99"/>
        <v>未上传</v>
      </c>
      <c r="AA36" t="str">
        <f t="shared" si="99"/>
        <v>未上传</v>
      </c>
      <c r="AB36" t="str">
        <f t="shared" si="8"/>
        <v>非书面答辩</v>
      </c>
      <c r="AC36" t="str">
        <f t="shared" si="9"/>
        <v>学生未填写</v>
      </c>
      <c r="AD36" t="str">
        <f t="shared" si="10"/>
        <v>未填写</v>
      </c>
      <c r="AE36" t="str">
        <f t="shared" si="11"/>
        <v>未签名</v>
      </c>
    </row>
    <row r="37" hidden="1" spans="1:31">
      <c r="A37" t="str">
        <f>"成芳敏"</f>
        <v>成芳敏</v>
      </c>
      <c r="B37" t="str">
        <f>"2217111101005"</f>
        <v>2217111101005</v>
      </c>
      <c r="C37" t="s">
        <v>96</v>
      </c>
      <c r="D37" t="str">
        <f t="shared" si="93"/>
        <v>金融22234</v>
      </c>
      <c r="E37" t="str">
        <f t="shared" si="94"/>
        <v>2022</v>
      </c>
      <c r="F37" t="str">
        <f t="shared" si="1"/>
        <v>东莞电研院</v>
      </c>
      <c r="G37" t="str">
        <f t="shared" si="2"/>
        <v>专升本</v>
      </c>
      <c r="H37" t="str">
        <f t="shared" si="95"/>
        <v>金融学</v>
      </c>
      <c r="I37" t="str">
        <f t="shared" si="96"/>
        <v>业余</v>
      </c>
      <c r="J37" t="str">
        <f t="shared" si="97"/>
        <v>李晶菁</v>
      </c>
      <c r="K37" t="s">
        <v>44</v>
      </c>
      <c r="L37" t="s">
        <v>94</v>
      </c>
      <c r="M37" t="s">
        <v>95</v>
      </c>
      <c r="Q37" t="str">
        <f t="shared" si="4"/>
        <v>未选择</v>
      </c>
      <c r="U37" t="str">
        <f t="shared" ref="U37:W37" si="100">"-"</f>
        <v>-</v>
      </c>
      <c r="V37" t="str">
        <f t="shared" si="100"/>
        <v>-</v>
      </c>
      <c r="W37" t="str">
        <f t="shared" si="100"/>
        <v>-</v>
      </c>
      <c r="X37" t="str">
        <f t="shared" si="6"/>
        <v>未填写</v>
      </c>
      <c r="Y37" t="str">
        <f t="shared" ref="Y37:AA37" si="101">"未上传"</f>
        <v>未上传</v>
      </c>
      <c r="Z37" t="str">
        <f t="shared" si="101"/>
        <v>未上传</v>
      </c>
      <c r="AA37" t="str">
        <f t="shared" si="101"/>
        <v>未上传</v>
      </c>
      <c r="AB37" t="str">
        <f t="shared" si="8"/>
        <v>非书面答辩</v>
      </c>
      <c r="AC37" t="str">
        <f t="shared" si="9"/>
        <v>学生未填写</v>
      </c>
      <c r="AD37" t="str">
        <f t="shared" si="10"/>
        <v>未填写</v>
      </c>
      <c r="AE37" t="str">
        <f t="shared" si="11"/>
        <v>未签名</v>
      </c>
    </row>
    <row r="38" hidden="1" spans="1:31">
      <c r="A38" t="str">
        <f>"魏汉康"</f>
        <v>魏汉康</v>
      </c>
      <c r="B38" t="str">
        <f>"2217111101018"</f>
        <v>2217111101018</v>
      </c>
      <c r="C38" t="s">
        <v>97</v>
      </c>
      <c r="D38" t="str">
        <f t="shared" si="93"/>
        <v>金融22234</v>
      </c>
      <c r="E38" t="str">
        <f t="shared" si="94"/>
        <v>2022</v>
      </c>
      <c r="F38" t="str">
        <f t="shared" si="1"/>
        <v>东莞电研院</v>
      </c>
      <c r="G38" t="str">
        <f t="shared" si="2"/>
        <v>专升本</v>
      </c>
      <c r="H38" t="str">
        <f t="shared" si="95"/>
        <v>金融学</v>
      </c>
      <c r="I38" t="str">
        <f t="shared" si="96"/>
        <v>业余</v>
      </c>
      <c r="J38" t="str">
        <f t="shared" si="97"/>
        <v>李晶菁</v>
      </c>
      <c r="K38" t="s">
        <v>44</v>
      </c>
      <c r="L38" t="s">
        <v>94</v>
      </c>
      <c r="M38" t="s">
        <v>95</v>
      </c>
      <c r="N38" t="str">
        <f>"人工智能发展对金融行业的冲击研究"</f>
        <v>人工智能发展对金融行业的冲击研究</v>
      </c>
      <c r="O38" t="str">
        <f>"人工智能发展;金融行业"</f>
        <v>人工智能发展;金融行业</v>
      </c>
      <c r="P38" t="str">
        <f>"人工智能发展;金融;人工智能的金融行业属性"</f>
        <v>人工智能发展;金融;人工智能的金融行业属性</v>
      </c>
      <c r="Q38" t="str">
        <f>"书面答辩"</f>
        <v>书面答辩</v>
      </c>
      <c r="R38" t="str">
        <f>"毕业论文"</f>
        <v>毕业论文</v>
      </c>
      <c r="S38" t="str">
        <f>"中文"</f>
        <v>中文</v>
      </c>
      <c r="T38" t="str">
        <f>"非立项"</f>
        <v>非立项</v>
      </c>
      <c r="U38" t="str">
        <f>"未审核"</f>
        <v>未审核</v>
      </c>
      <c r="X38" t="str">
        <f t="shared" si="6"/>
        <v>未填写</v>
      </c>
      <c r="Y38" t="str">
        <f t="shared" ref="Y38:AA38" si="102">"未上传"</f>
        <v>未上传</v>
      </c>
      <c r="Z38" t="str">
        <f t="shared" si="102"/>
        <v>未上传</v>
      </c>
      <c r="AA38" t="str">
        <f t="shared" si="102"/>
        <v>未上传</v>
      </c>
      <c r="AB38" t="str">
        <f>"未发布问题"</f>
        <v>未发布问题</v>
      </c>
      <c r="AC38" t="str">
        <f t="shared" si="9"/>
        <v>学生未填写</v>
      </c>
      <c r="AD38" t="str">
        <f t="shared" si="10"/>
        <v>未填写</v>
      </c>
      <c r="AE38" t="str">
        <f t="shared" si="11"/>
        <v>未签名</v>
      </c>
    </row>
    <row r="39" spans="1:31">
      <c r="A39" t="str">
        <f>"吴伟龙"</f>
        <v>吴伟龙</v>
      </c>
      <c r="B39" t="str">
        <f>"2217111101020"</f>
        <v>2217111101020</v>
      </c>
      <c r="C39" t="s">
        <v>98</v>
      </c>
      <c r="D39" t="str">
        <f t="shared" si="93"/>
        <v>金融22234</v>
      </c>
      <c r="E39" t="str">
        <f t="shared" si="94"/>
        <v>2022</v>
      </c>
      <c r="F39" t="str">
        <f t="shared" si="1"/>
        <v>东莞电研院</v>
      </c>
      <c r="G39" t="str">
        <f t="shared" si="2"/>
        <v>专升本</v>
      </c>
      <c r="H39" t="str">
        <f t="shared" si="95"/>
        <v>金融学</v>
      </c>
      <c r="I39" t="str">
        <f t="shared" si="96"/>
        <v>业余</v>
      </c>
      <c r="J39" t="str">
        <f>"吕文娟"</f>
        <v>吕文娟</v>
      </c>
      <c r="K39" t="s">
        <v>32</v>
      </c>
      <c r="L39" t="s">
        <v>99</v>
      </c>
      <c r="M39" t="s">
        <v>100</v>
      </c>
      <c r="Q39" t="str">
        <f t="shared" ref="Q39:Q59" si="103">"未选择"</f>
        <v>未选择</v>
      </c>
      <c r="U39" t="str">
        <f t="shared" ref="U39:W39" si="104">"-"</f>
        <v>-</v>
      </c>
      <c r="V39" t="str">
        <f t="shared" si="104"/>
        <v>-</v>
      </c>
      <c r="W39" t="str">
        <f t="shared" si="104"/>
        <v>-</v>
      </c>
      <c r="X39" t="str">
        <f t="shared" si="6"/>
        <v>未填写</v>
      </c>
      <c r="Y39" t="str">
        <f t="shared" ref="Y39:AA39" si="105">"未上传"</f>
        <v>未上传</v>
      </c>
      <c r="Z39" t="str">
        <f t="shared" si="105"/>
        <v>未上传</v>
      </c>
      <c r="AA39" t="str">
        <f t="shared" si="105"/>
        <v>未上传</v>
      </c>
      <c r="AB39" t="str">
        <f t="shared" ref="AB39:AB74" si="106">"非书面答辩"</f>
        <v>非书面答辩</v>
      </c>
      <c r="AC39" t="str">
        <f t="shared" si="9"/>
        <v>学生未填写</v>
      </c>
      <c r="AD39" t="str">
        <f t="shared" si="10"/>
        <v>未填写</v>
      </c>
      <c r="AE39" t="str">
        <f t="shared" si="11"/>
        <v>未签名</v>
      </c>
    </row>
    <row r="40" hidden="1" spans="1:31">
      <c r="A40" t="str">
        <f>"陈卓稀"</f>
        <v>陈卓稀</v>
      </c>
      <c r="B40" t="str">
        <f>"2217111102001"</f>
        <v>2217111102001</v>
      </c>
      <c r="C40" t="s">
        <v>101</v>
      </c>
      <c r="D40" t="str">
        <f>"国贸22152"</f>
        <v>国贸22152</v>
      </c>
      <c r="E40" t="str">
        <f t="shared" si="94"/>
        <v>2022</v>
      </c>
      <c r="F40" t="str">
        <f t="shared" si="1"/>
        <v>东莞电研院</v>
      </c>
      <c r="G40" t="str">
        <f t="shared" si="2"/>
        <v>专升本</v>
      </c>
      <c r="H40" t="str">
        <f>"国际经济与贸易"</f>
        <v>国际经济与贸易</v>
      </c>
      <c r="I40" t="str">
        <f t="shared" si="96"/>
        <v>业余</v>
      </c>
      <c r="J40" t="str">
        <f>"陈雪铃"</f>
        <v>陈雪铃</v>
      </c>
      <c r="K40" t="s">
        <v>44</v>
      </c>
      <c r="L40" t="s">
        <v>45</v>
      </c>
      <c r="M40" t="s">
        <v>46</v>
      </c>
      <c r="Q40" t="str">
        <f t="shared" si="103"/>
        <v>未选择</v>
      </c>
      <c r="U40" t="str">
        <f t="shared" ref="U40:W40" si="107">"-"</f>
        <v>-</v>
      </c>
      <c r="V40" t="str">
        <f t="shared" si="107"/>
        <v>-</v>
      </c>
      <c r="W40" t="str">
        <f t="shared" si="107"/>
        <v>-</v>
      </c>
      <c r="X40" t="str">
        <f t="shared" si="6"/>
        <v>未填写</v>
      </c>
      <c r="Y40" t="str">
        <f t="shared" ref="Y40:AA40" si="108">"未上传"</f>
        <v>未上传</v>
      </c>
      <c r="Z40" t="str">
        <f t="shared" si="108"/>
        <v>未上传</v>
      </c>
      <c r="AA40" t="str">
        <f t="shared" si="108"/>
        <v>未上传</v>
      </c>
      <c r="AB40" t="str">
        <f t="shared" si="106"/>
        <v>非书面答辩</v>
      </c>
      <c r="AC40" t="str">
        <f t="shared" si="9"/>
        <v>学生未填写</v>
      </c>
      <c r="AD40" t="str">
        <f t="shared" si="10"/>
        <v>未填写</v>
      </c>
      <c r="AE40" t="str">
        <f t="shared" si="11"/>
        <v>未签名</v>
      </c>
    </row>
    <row r="41" hidden="1" spans="1:31">
      <c r="A41" t="str">
        <f>"蒋柏"</f>
        <v>蒋柏</v>
      </c>
      <c r="B41" t="str">
        <f>"2217111102003"</f>
        <v>2217111102003</v>
      </c>
      <c r="C41" t="s">
        <v>102</v>
      </c>
      <c r="D41" t="str">
        <f>"国贸22152"</f>
        <v>国贸22152</v>
      </c>
      <c r="E41" t="str">
        <f t="shared" si="94"/>
        <v>2022</v>
      </c>
      <c r="F41" t="str">
        <f t="shared" si="1"/>
        <v>东莞电研院</v>
      </c>
      <c r="G41" t="str">
        <f t="shared" si="2"/>
        <v>专升本</v>
      </c>
      <c r="H41" t="str">
        <f>"国际经济与贸易"</f>
        <v>国际经济与贸易</v>
      </c>
      <c r="I41" t="str">
        <f t="shared" si="96"/>
        <v>业余</v>
      </c>
      <c r="J41" t="str">
        <f>"陈雪铃"</f>
        <v>陈雪铃</v>
      </c>
      <c r="K41" t="s">
        <v>44</v>
      </c>
      <c r="L41" t="s">
        <v>45</v>
      </c>
      <c r="M41" t="s">
        <v>46</v>
      </c>
      <c r="Q41" t="str">
        <f t="shared" si="103"/>
        <v>未选择</v>
      </c>
      <c r="U41" t="str">
        <f t="shared" ref="U41:W41" si="109">"-"</f>
        <v>-</v>
      </c>
      <c r="V41" t="str">
        <f t="shared" si="109"/>
        <v>-</v>
      </c>
      <c r="W41" t="str">
        <f t="shared" si="109"/>
        <v>-</v>
      </c>
      <c r="X41" t="str">
        <f t="shared" si="6"/>
        <v>未填写</v>
      </c>
      <c r="Y41" t="str">
        <f t="shared" ref="Y41:AA41" si="110">"未上传"</f>
        <v>未上传</v>
      </c>
      <c r="Z41" t="str">
        <f t="shared" si="110"/>
        <v>未上传</v>
      </c>
      <c r="AA41" t="str">
        <f t="shared" si="110"/>
        <v>未上传</v>
      </c>
      <c r="AB41" t="str">
        <f t="shared" si="106"/>
        <v>非书面答辩</v>
      </c>
      <c r="AC41" t="str">
        <f t="shared" si="9"/>
        <v>学生未填写</v>
      </c>
      <c r="AD41" t="str">
        <f t="shared" si="10"/>
        <v>未填写</v>
      </c>
      <c r="AE41" t="str">
        <f t="shared" si="11"/>
        <v>未签名</v>
      </c>
    </row>
    <row r="42" spans="1:31">
      <c r="A42" t="str">
        <f>"胡玉芹"</f>
        <v>胡玉芹</v>
      </c>
      <c r="B42" t="str">
        <f>"2217111103009"</f>
        <v>2217111103009</v>
      </c>
      <c r="C42" t="s">
        <v>103</v>
      </c>
      <c r="D42" t="str">
        <f t="shared" ref="D42:D46" si="111">"法学22085"</f>
        <v>法学22085</v>
      </c>
      <c r="E42" t="str">
        <f t="shared" si="94"/>
        <v>2022</v>
      </c>
      <c r="F42" t="str">
        <f t="shared" si="1"/>
        <v>东莞电研院</v>
      </c>
      <c r="G42" t="str">
        <f t="shared" si="2"/>
        <v>专升本</v>
      </c>
      <c r="H42" t="str">
        <f t="shared" ref="H42:H46" si="112">"法学"</f>
        <v>法学</v>
      </c>
      <c r="I42" t="str">
        <f t="shared" si="96"/>
        <v>业余</v>
      </c>
      <c r="J42" t="str">
        <f t="shared" ref="J42:J44" si="113">"孙文"</f>
        <v>孙文</v>
      </c>
      <c r="K42" t="s">
        <v>32</v>
      </c>
      <c r="L42">
        <v>15818283086</v>
      </c>
      <c r="M42" t="s">
        <v>104</v>
      </c>
      <c r="Q42" t="str">
        <f t="shared" si="103"/>
        <v>未选择</v>
      </c>
      <c r="U42" t="str">
        <f t="shared" ref="U42:W42" si="114">"-"</f>
        <v>-</v>
      </c>
      <c r="V42" t="str">
        <f t="shared" si="114"/>
        <v>-</v>
      </c>
      <c r="W42" t="str">
        <f t="shared" si="114"/>
        <v>-</v>
      </c>
      <c r="X42" t="str">
        <f t="shared" si="6"/>
        <v>未填写</v>
      </c>
      <c r="Y42" t="str">
        <f t="shared" ref="Y42:AA42" si="115">"未上传"</f>
        <v>未上传</v>
      </c>
      <c r="Z42" t="str">
        <f t="shared" si="115"/>
        <v>未上传</v>
      </c>
      <c r="AA42" t="str">
        <f t="shared" si="115"/>
        <v>未上传</v>
      </c>
      <c r="AB42" t="str">
        <f t="shared" si="106"/>
        <v>非书面答辩</v>
      </c>
      <c r="AC42" t="str">
        <f t="shared" si="9"/>
        <v>学生未填写</v>
      </c>
      <c r="AD42" t="str">
        <f t="shared" si="10"/>
        <v>未填写</v>
      </c>
      <c r="AE42" t="str">
        <f t="shared" si="11"/>
        <v>未签名</v>
      </c>
    </row>
    <row r="43" spans="1:31">
      <c r="A43" t="str">
        <f>"李颖雯"</f>
        <v>李颖雯</v>
      </c>
      <c r="B43" t="str">
        <f>"2217111103014"</f>
        <v>2217111103014</v>
      </c>
      <c r="C43" t="s">
        <v>105</v>
      </c>
      <c r="D43" t="str">
        <f t="shared" si="111"/>
        <v>法学22085</v>
      </c>
      <c r="E43" t="str">
        <f t="shared" si="94"/>
        <v>2022</v>
      </c>
      <c r="F43" t="str">
        <f t="shared" si="1"/>
        <v>东莞电研院</v>
      </c>
      <c r="G43" t="str">
        <f t="shared" si="2"/>
        <v>专升本</v>
      </c>
      <c r="H43" t="str">
        <f t="shared" si="112"/>
        <v>法学</v>
      </c>
      <c r="I43" t="str">
        <f t="shared" si="96"/>
        <v>业余</v>
      </c>
      <c r="J43" t="str">
        <f t="shared" si="113"/>
        <v>孙文</v>
      </c>
      <c r="K43" t="s">
        <v>32</v>
      </c>
      <c r="L43">
        <v>15818283086</v>
      </c>
      <c r="M43" t="s">
        <v>104</v>
      </c>
      <c r="Q43" t="str">
        <f t="shared" si="103"/>
        <v>未选择</v>
      </c>
      <c r="U43" t="str">
        <f t="shared" ref="U43:W43" si="116">"-"</f>
        <v>-</v>
      </c>
      <c r="V43" t="str">
        <f t="shared" si="116"/>
        <v>-</v>
      </c>
      <c r="W43" t="str">
        <f t="shared" si="116"/>
        <v>-</v>
      </c>
      <c r="X43" t="str">
        <f t="shared" si="6"/>
        <v>未填写</v>
      </c>
      <c r="Y43" t="str">
        <f t="shared" ref="Y43:AA43" si="117">"未上传"</f>
        <v>未上传</v>
      </c>
      <c r="Z43" t="str">
        <f t="shared" si="117"/>
        <v>未上传</v>
      </c>
      <c r="AA43" t="str">
        <f t="shared" si="117"/>
        <v>未上传</v>
      </c>
      <c r="AB43" t="str">
        <f t="shared" si="106"/>
        <v>非书面答辩</v>
      </c>
      <c r="AC43" t="str">
        <f t="shared" si="9"/>
        <v>学生未填写</v>
      </c>
      <c r="AD43" t="str">
        <f t="shared" si="10"/>
        <v>未填写</v>
      </c>
      <c r="AE43" t="str">
        <f t="shared" si="11"/>
        <v>未签名</v>
      </c>
    </row>
    <row r="44" spans="1:31">
      <c r="A44" t="str">
        <f>"李永健"</f>
        <v>李永健</v>
      </c>
      <c r="B44" t="str">
        <f>"2217111103015"</f>
        <v>2217111103015</v>
      </c>
      <c r="C44" t="s">
        <v>106</v>
      </c>
      <c r="D44" t="str">
        <f t="shared" si="111"/>
        <v>法学22085</v>
      </c>
      <c r="E44" t="str">
        <f t="shared" si="94"/>
        <v>2022</v>
      </c>
      <c r="F44" t="str">
        <f t="shared" si="1"/>
        <v>东莞电研院</v>
      </c>
      <c r="G44" t="str">
        <f t="shared" si="2"/>
        <v>专升本</v>
      </c>
      <c r="H44" t="str">
        <f t="shared" si="112"/>
        <v>法学</v>
      </c>
      <c r="I44" t="str">
        <f t="shared" si="96"/>
        <v>业余</v>
      </c>
      <c r="J44" t="str">
        <f t="shared" si="113"/>
        <v>孙文</v>
      </c>
      <c r="K44" t="s">
        <v>32</v>
      </c>
      <c r="L44">
        <v>15818283086</v>
      </c>
      <c r="M44" t="s">
        <v>104</v>
      </c>
      <c r="Q44" t="str">
        <f t="shared" si="103"/>
        <v>未选择</v>
      </c>
      <c r="U44" t="str">
        <f t="shared" ref="U44:W44" si="118">"-"</f>
        <v>-</v>
      </c>
      <c r="V44" t="str">
        <f t="shared" si="118"/>
        <v>-</v>
      </c>
      <c r="W44" t="str">
        <f t="shared" si="118"/>
        <v>-</v>
      </c>
      <c r="X44" t="str">
        <f t="shared" si="6"/>
        <v>未填写</v>
      </c>
      <c r="Y44" t="str">
        <f t="shared" ref="Y44:AA44" si="119">"未上传"</f>
        <v>未上传</v>
      </c>
      <c r="Z44" t="str">
        <f t="shared" si="119"/>
        <v>未上传</v>
      </c>
      <c r="AA44" t="str">
        <f t="shared" si="119"/>
        <v>未上传</v>
      </c>
      <c r="AB44" t="str">
        <f t="shared" si="106"/>
        <v>非书面答辩</v>
      </c>
      <c r="AC44" t="str">
        <f t="shared" si="9"/>
        <v>学生未填写</v>
      </c>
      <c r="AD44" t="str">
        <f t="shared" si="10"/>
        <v>未填写</v>
      </c>
      <c r="AE44" t="str">
        <f t="shared" si="11"/>
        <v>未签名</v>
      </c>
    </row>
    <row r="45" spans="1:31">
      <c r="A45" t="str">
        <f>"杨恒亮"</f>
        <v>杨恒亮</v>
      </c>
      <c r="B45" t="str">
        <f>"2217111103022"</f>
        <v>2217111103022</v>
      </c>
      <c r="C45" t="s">
        <v>107</v>
      </c>
      <c r="D45" t="str">
        <f t="shared" si="111"/>
        <v>法学22085</v>
      </c>
      <c r="E45" t="str">
        <f t="shared" si="94"/>
        <v>2022</v>
      </c>
      <c r="F45" t="str">
        <f t="shared" si="1"/>
        <v>东莞电研院</v>
      </c>
      <c r="G45" t="str">
        <f t="shared" si="2"/>
        <v>专升本</v>
      </c>
      <c r="H45" t="str">
        <f t="shared" si="112"/>
        <v>法学</v>
      </c>
      <c r="I45" t="str">
        <f t="shared" si="96"/>
        <v>业余</v>
      </c>
      <c r="J45" t="str">
        <f>"吴波"</f>
        <v>吴波</v>
      </c>
      <c r="K45" t="s">
        <v>32</v>
      </c>
      <c r="L45" t="s">
        <v>108</v>
      </c>
      <c r="M45" t="s">
        <v>109</v>
      </c>
      <c r="Q45" t="str">
        <f t="shared" si="103"/>
        <v>未选择</v>
      </c>
      <c r="U45" t="str">
        <f t="shared" ref="U45:W45" si="120">"-"</f>
        <v>-</v>
      </c>
      <c r="V45" t="str">
        <f t="shared" si="120"/>
        <v>-</v>
      </c>
      <c r="W45" t="str">
        <f t="shared" si="120"/>
        <v>-</v>
      </c>
      <c r="X45" t="str">
        <f t="shared" si="6"/>
        <v>未填写</v>
      </c>
      <c r="Y45" t="str">
        <f t="shared" ref="Y45:AA45" si="121">"未上传"</f>
        <v>未上传</v>
      </c>
      <c r="Z45" t="str">
        <f t="shared" si="121"/>
        <v>未上传</v>
      </c>
      <c r="AA45" t="str">
        <f t="shared" si="121"/>
        <v>未上传</v>
      </c>
      <c r="AB45" t="str">
        <f t="shared" si="106"/>
        <v>非书面答辩</v>
      </c>
      <c r="AC45" t="str">
        <f t="shared" si="9"/>
        <v>学生未填写</v>
      </c>
      <c r="AD45" t="str">
        <f t="shared" si="10"/>
        <v>未填写</v>
      </c>
      <c r="AE45" t="str">
        <f t="shared" si="11"/>
        <v>未签名</v>
      </c>
    </row>
    <row r="46" spans="1:31">
      <c r="A46" t="str">
        <f>"钟少仪"</f>
        <v>钟少仪</v>
      </c>
      <c r="B46" t="str">
        <f>"2217111103027"</f>
        <v>2217111103027</v>
      </c>
      <c r="C46" t="s">
        <v>110</v>
      </c>
      <c r="D46" t="str">
        <f t="shared" si="111"/>
        <v>法学22085</v>
      </c>
      <c r="E46" t="str">
        <f t="shared" si="94"/>
        <v>2022</v>
      </c>
      <c r="F46" t="str">
        <f t="shared" si="1"/>
        <v>东莞电研院</v>
      </c>
      <c r="G46" t="str">
        <f t="shared" si="2"/>
        <v>专升本</v>
      </c>
      <c r="H46" t="str">
        <f t="shared" si="112"/>
        <v>法学</v>
      </c>
      <c r="I46" t="str">
        <f t="shared" si="96"/>
        <v>业余</v>
      </c>
      <c r="J46" t="str">
        <f>"闻渊"</f>
        <v>闻渊</v>
      </c>
      <c r="K46" t="s">
        <v>32</v>
      </c>
      <c r="L46" t="s">
        <v>111</v>
      </c>
      <c r="M46" t="str">
        <f>"13826499205@qq.com"</f>
        <v>13826499205@qq.com</v>
      </c>
      <c r="Q46" t="str">
        <f t="shared" si="103"/>
        <v>未选择</v>
      </c>
      <c r="U46" t="str">
        <f t="shared" ref="U46:W46" si="122">"-"</f>
        <v>-</v>
      </c>
      <c r="V46" t="str">
        <f t="shared" si="122"/>
        <v>-</v>
      </c>
      <c r="W46" t="str">
        <f t="shared" si="122"/>
        <v>-</v>
      </c>
      <c r="X46" t="str">
        <f t="shared" si="6"/>
        <v>未填写</v>
      </c>
      <c r="Y46" t="str">
        <f t="shared" ref="Y46:AA46" si="123">"未上传"</f>
        <v>未上传</v>
      </c>
      <c r="Z46" t="str">
        <f t="shared" si="123"/>
        <v>未上传</v>
      </c>
      <c r="AA46" t="str">
        <f t="shared" si="123"/>
        <v>未上传</v>
      </c>
      <c r="AB46" t="str">
        <f t="shared" si="106"/>
        <v>非书面答辩</v>
      </c>
      <c r="AC46" t="str">
        <f t="shared" si="9"/>
        <v>学生未填写</v>
      </c>
      <c r="AD46" t="str">
        <f t="shared" si="10"/>
        <v>未填写</v>
      </c>
      <c r="AE46" t="str">
        <f t="shared" si="11"/>
        <v>未签名</v>
      </c>
    </row>
    <row r="47" spans="1:31">
      <c r="A47" t="str">
        <f>"阮思乐"</f>
        <v>阮思乐</v>
      </c>
      <c r="B47" t="str">
        <f>"2217111104005"</f>
        <v>2217111104005</v>
      </c>
      <c r="C47" t="s">
        <v>112</v>
      </c>
      <c r="D47" t="str">
        <f t="shared" ref="D47:D50" si="124">"英语22309"</f>
        <v>英语22309</v>
      </c>
      <c r="E47" t="str">
        <f t="shared" si="94"/>
        <v>2022</v>
      </c>
      <c r="F47" t="str">
        <f t="shared" si="1"/>
        <v>东莞电研院</v>
      </c>
      <c r="G47" t="str">
        <f t="shared" si="2"/>
        <v>专升本</v>
      </c>
      <c r="H47" t="str">
        <f t="shared" ref="H47:H50" si="125">"英语"</f>
        <v>英语</v>
      </c>
      <c r="I47" t="str">
        <f t="shared" si="96"/>
        <v>业余</v>
      </c>
      <c r="J47" t="str">
        <f t="shared" ref="J47:J50" si="126">"荣彩虹"</f>
        <v>荣彩虹</v>
      </c>
      <c r="K47" t="s">
        <v>32</v>
      </c>
      <c r="L47" t="s">
        <v>33</v>
      </c>
      <c r="M47" t="s">
        <v>34</v>
      </c>
      <c r="Q47" t="str">
        <f t="shared" si="103"/>
        <v>未选择</v>
      </c>
      <c r="U47" t="str">
        <f t="shared" ref="U47:W47" si="127">"-"</f>
        <v>-</v>
      </c>
      <c r="V47" t="str">
        <f t="shared" si="127"/>
        <v>-</v>
      </c>
      <c r="W47" t="str">
        <f t="shared" si="127"/>
        <v>-</v>
      </c>
      <c r="X47" t="str">
        <f t="shared" si="6"/>
        <v>未填写</v>
      </c>
      <c r="Y47" t="str">
        <f t="shared" ref="Y47:AA47" si="128">"未上传"</f>
        <v>未上传</v>
      </c>
      <c r="Z47" t="str">
        <f t="shared" si="128"/>
        <v>未上传</v>
      </c>
      <c r="AA47" t="str">
        <f t="shared" si="128"/>
        <v>未上传</v>
      </c>
      <c r="AB47" t="str">
        <f t="shared" si="106"/>
        <v>非书面答辩</v>
      </c>
      <c r="AC47" t="str">
        <f t="shared" si="9"/>
        <v>学生未填写</v>
      </c>
      <c r="AD47" t="str">
        <f t="shared" si="10"/>
        <v>未填写</v>
      </c>
      <c r="AE47" t="str">
        <f t="shared" si="11"/>
        <v>未签名</v>
      </c>
    </row>
    <row r="48" spans="1:31">
      <c r="A48" t="str">
        <f>"阮杏诗"</f>
        <v>阮杏诗</v>
      </c>
      <c r="B48" t="str">
        <f>"2217111104006"</f>
        <v>2217111104006</v>
      </c>
      <c r="C48" t="s">
        <v>113</v>
      </c>
      <c r="D48" t="str">
        <f t="shared" si="124"/>
        <v>英语22309</v>
      </c>
      <c r="E48" t="str">
        <f t="shared" si="94"/>
        <v>2022</v>
      </c>
      <c r="F48" t="str">
        <f t="shared" si="1"/>
        <v>东莞电研院</v>
      </c>
      <c r="G48" t="str">
        <f t="shared" si="2"/>
        <v>专升本</v>
      </c>
      <c r="H48" t="str">
        <f t="shared" si="125"/>
        <v>英语</v>
      </c>
      <c r="I48" t="str">
        <f t="shared" si="96"/>
        <v>业余</v>
      </c>
      <c r="J48" t="str">
        <f t="shared" si="126"/>
        <v>荣彩虹</v>
      </c>
      <c r="K48" t="s">
        <v>32</v>
      </c>
      <c r="L48" t="s">
        <v>33</v>
      </c>
      <c r="M48" t="s">
        <v>34</v>
      </c>
      <c r="Q48" t="str">
        <f t="shared" si="103"/>
        <v>未选择</v>
      </c>
      <c r="U48" t="str">
        <f t="shared" ref="U48:W48" si="129">"-"</f>
        <v>-</v>
      </c>
      <c r="V48" t="str">
        <f t="shared" si="129"/>
        <v>-</v>
      </c>
      <c r="W48" t="str">
        <f t="shared" si="129"/>
        <v>-</v>
      </c>
      <c r="X48" t="str">
        <f t="shared" si="6"/>
        <v>未填写</v>
      </c>
      <c r="Y48" t="str">
        <f t="shared" ref="Y48:AA48" si="130">"未上传"</f>
        <v>未上传</v>
      </c>
      <c r="Z48" t="str">
        <f t="shared" si="130"/>
        <v>未上传</v>
      </c>
      <c r="AA48" t="str">
        <f t="shared" si="130"/>
        <v>未上传</v>
      </c>
      <c r="AB48" t="str">
        <f t="shared" si="106"/>
        <v>非书面答辩</v>
      </c>
      <c r="AC48" t="str">
        <f t="shared" si="9"/>
        <v>学生未填写</v>
      </c>
      <c r="AD48" t="str">
        <f t="shared" si="10"/>
        <v>未填写</v>
      </c>
      <c r="AE48" t="str">
        <f t="shared" si="11"/>
        <v>未签名</v>
      </c>
    </row>
    <row r="49" spans="1:31">
      <c r="A49" t="str">
        <f>"温文喆"</f>
        <v>温文喆</v>
      </c>
      <c r="B49" t="str">
        <f>"2217111104007"</f>
        <v>2217111104007</v>
      </c>
      <c r="C49" t="s">
        <v>114</v>
      </c>
      <c r="D49" t="str">
        <f t="shared" si="124"/>
        <v>英语22309</v>
      </c>
      <c r="E49" t="str">
        <f t="shared" si="94"/>
        <v>2022</v>
      </c>
      <c r="F49" t="str">
        <f t="shared" si="1"/>
        <v>东莞电研院</v>
      </c>
      <c r="G49" t="str">
        <f t="shared" si="2"/>
        <v>专升本</v>
      </c>
      <c r="H49" t="str">
        <f t="shared" si="125"/>
        <v>英语</v>
      </c>
      <c r="I49" t="str">
        <f t="shared" si="96"/>
        <v>业余</v>
      </c>
      <c r="J49" t="str">
        <f t="shared" si="126"/>
        <v>荣彩虹</v>
      </c>
      <c r="K49" t="s">
        <v>32</v>
      </c>
      <c r="L49" t="s">
        <v>33</v>
      </c>
      <c r="M49" t="s">
        <v>34</v>
      </c>
      <c r="Q49" t="str">
        <f t="shared" si="103"/>
        <v>未选择</v>
      </c>
      <c r="U49" t="str">
        <f t="shared" ref="U49:W49" si="131">"-"</f>
        <v>-</v>
      </c>
      <c r="V49" t="str">
        <f t="shared" si="131"/>
        <v>-</v>
      </c>
      <c r="W49" t="str">
        <f t="shared" si="131"/>
        <v>-</v>
      </c>
      <c r="X49" t="str">
        <f t="shared" si="6"/>
        <v>未填写</v>
      </c>
      <c r="Y49" t="str">
        <f t="shared" ref="Y49:AA49" si="132">"未上传"</f>
        <v>未上传</v>
      </c>
      <c r="Z49" t="str">
        <f t="shared" si="132"/>
        <v>未上传</v>
      </c>
      <c r="AA49" t="str">
        <f t="shared" si="132"/>
        <v>未上传</v>
      </c>
      <c r="AB49" t="str">
        <f t="shared" si="106"/>
        <v>非书面答辩</v>
      </c>
      <c r="AC49" t="str">
        <f t="shared" si="9"/>
        <v>学生未填写</v>
      </c>
      <c r="AD49" t="str">
        <f t="shared" si="10"/>
        <v>未填写</v>
      </c>
      <c r="AE49" t="str">
        <f t="shared" si="11"/>
        <v>未签名</v>
      </c>
    </row>
    <row r="50" spans="1:31">
      <c r="A50" t="str">
        <f>"叶钰婷"</f>
        <v>叶钰婷</v>
      </c>
      <c r="B50" t="str">
        <f>"2217111104010"</f>
        <v>2217111104010</v>
      </c>
      <c r="C50" t="s">
        <v>115</v>
      </c>
      <c r="D50" t="str">
        <f t="shared" si="124"/>
        <v>英语22309</v>
      </c>
      <c r="E50" t="str">
        <f t="shared" si="94"/>
        <v>2022</v>
      </c>
      <c r="F50" t="str">
        <f t="shared" si="1"/>
        <v>东莞电研院</v>
      </c>
      <c r="G50" t="str">
        <f t="shared" si="2"/>
        <v>专升本</v>
      </c>
      <c r="H50" t="str">
        <f t="shared" si="125"/>
        <v>英语</v>
      </c>
      <c r="I50" t="str">
        <f t="shared" si="96"/>
        <v>业余</v>
      </c>
      <c r="J50" t="str">
        <f t="shared" si="126"/>
        <v>荣彩虹</v>
      </c>
      <c r="K50" t="s">
        <v>32</v>
      </c>
      <c r="L50" t="s">
        <v>33</v>
      </c>
      <c r="M50" t="s">
        <v>34</v>
      </c>
      <c r="Q50" t="str">
        <f t="shared" si="103"/>
        <v>未选择</v>
      </c>
      <c r="U50" t="str">
        <f t="shared" ref="U50:W50" si="133">"-"</f>
        <v>-</v>
      </c>
      <c r="V50" t="str">
        <f t="shared" si="133"/>
        <v>-</v>
      </c>
      <c r="W50" t="str">
        <f t="shared" si="133"/>
        <v>-</v>
      </c>
      <c r="X50" t="str">
        <f t="shared" si="6"/>
        <v>未填写</v>
      </c>
      <c r="Y50" t="str">
        <f t="shared" ref="Y50:AA50" si="134">"未上传"</f>
        <v>未上传</v>
      </c>
      <c r="Z50" t="str">
        <f t="shared" si="134"/>
        <v>未上传</v>
      </c>
      <c r="AA50" t="str">
        <f t="shared" si="134"/>
        <v>未上传</v>
      </c>
      <c r="AB50" t="str">
        <f t="shared" si="106"/>
        <v>非书面答辩</v>
      </c>
      <c r="AC50" t="str">
        <f t="shared" si="9"/>
        <v>学生未填写</v>
      </c>
      <c r="AD50" t="str">
        <f t="shared" si="10"/>
        <v>未填写</v>
      </c>
      <c r="AE50" t="str">
        <f t="shared" si="11"/>
        <v>未签名</v>
      </c>
    </row>
    <row r="51" hidden="1" spans="1:31">
      <c r="A51" t="str">
        <f>"蔡枫炜"</f>
        <v>蔡枫炜</v>
      </c>
      <c r="B51" t="str">
        <f>"2217111115001"</f>
        <v>2217111115001</v>
      </c>
      <c r="C51" t="s">
        <v>116</v>
      </c>
      <c r="D51" t="str">
        <f t="shared" ref="D51:D54" si="135">"视觉传达22262"</f>
        <v>视觉传达22262</v>
      </c>
      <c r="E51" t="str">
        <f t="shared" si="94"/>
        <v>2022</v>
      </c>
      <c r="F51" t="str">
        <f t="shared" si="1"/>
        <v>东莞电研院</v>
      </c>
      <c r="G51" t="str">
        <f t="shared" si="2"/>
        <v>专升本</v>
      </c>
      <c r="H51" t="str">
        <f t="shared" ref="H51:H54" si="136">"视觉传达设计"</f>
        <v>视觉传达设计</v>
      </c>
      <c r="I51" t="str">
        <f t="shared" si="96"/>
        <v>业余</v>
      </c>
      <c r="J51" t="str">
        <f t="shared" ref="J51:J54" si="137">"徐蓉"</f>
        <v>徐蓉</v>
      </c>
      <c r="K51" t="s">
        <v>44</v>
      </c>
      <c r="L51" t="s">
        <v>117</v>
      </c>
      <c r="M51" t="s">
        <v>118</v>
      </c>
      <c r="Q51" t="str">
        <f t="shared" si="103"/>
        <v>未选择</v>
      </c>
      <c r="U51" t="str">
        <f t="shared" ref="U51:W51" si="138">"-"</f>
        <v>-</v>
      </c>
      <c r="V51" t="str">
        <f t="shared" si="138"/>
        <v>-</v>
      </c>
      <c r="W51" t="str">
        <f t="shared" si="138"/>
        <v>-</v>
      </c>
      <c r="X51" t="str">
        <f t="shared" si="6"/>
        <v>未填写</v>
      </c>
      <c r="Y51" t="str">
        <f t="shared" ref="Y51:AA51" si="139">"未上传"</f>
        <v>未上传</v>
      </c>
      <c r="Z51" t="str">
        <f t="shared" si="139"/>
        <v>未上传</v>
      </c>
      <c r="AA51" t="str">
        <f t="shared" si="139"/>
        <v>未上传</v>
      </c>
      <c r="AB51" t="str">
        <f t="shared" si="106"/>
        <v>非书面答辩</v>
      </c>
      <c r="AC51" t="str">
        <f t="shared" si="9"/>
        <v>学生未填写</v>
      </c>
      <c r="AD51" t="str">
        <f t="shared" si="10"/>
        <v>未填写</v>
      </c>
      <c r="AE51" t="str">
        <f t="shared" si="11"/>
        <v>未签名</v>
      </c>
    </row>
    <row r="52" hidden="1" spans="1:31">
      <c r="A52" t="str">
        <f>"范豪浩"</f>
        <v>范豪浩</v>
      </c>
      <c r="B52" t="str">
        <f>"2217111115002"</f>
        <v>2217111115002</v>
      </c>
      <c r="C52" t="s">
        <v>119</v>
      </c>
      <c r="D52" t="str">
        <f t="shared" si="135"/>
        <v>视觉传达22262</v>
      </c>
      <c r="E52" t="str">
        <f t="shared" si="94"/>
        <v>2022</v>
      </c>
      <c r="F52" t="str">
        <f t="shared" si="1"/>
        <v>东莞电研院</v>
      </c>
      <c r="G52" t="str">
        <f t="shared" si="2"/>
        <v>专升本</v>
      </c>
      <c r="H52" t="str">
        <f t="shared" si="136"/>
        <v>视觉传达设计</v>
      </c>
      <c r="I52" t="str">
        <f t="shared" si="96"/>
        <v>业余</v>
      </c>
      <c r="J52" t="str">
        <f t="shared" si="137"/>
        <v>徐蓉</v>
      </c>
      <c r="K52" t="s">
        <v>44</v>
      </c>
      <c r="L52" t="s">
        <v>117</v>
      </c>
      <c r="M52" t="s">
        <v>118</v>
      </c>
      <c r="Q52" t="str">
        <f t="shared" si="103"/>
        <v>未选择</v>
      </c>
      <c r="U52" t="str">
        <f t="shared" ref="U52:W52" si="140">"-"</f>
        <v>-</v>
      </c>
      <c r="V52" t="str">
        <f t="shared" si="140"/>
        <v>-</v>
      </c>
      <c r="W52" t="str">
        <f t="shared" si="140"/>
        <v>-</v>
      </c>
      <c r="X52" t="str">
        <f t="shared" si="6"/>
        <v>未填写</v>
      </c>
      <c r="Y52" t="str">
        <f t="shared" ref="Y52:AA52" si="141">"未上传"</f>
        <v>未上传</v>
      </c>
      <c r="Z52" t="str">
        <f t="shared" si="141"/>
        <v>未上传</v>
      </c>
      <c r="AA52" t="str">
        <f t="shared" si="141"/>
        <v>未上传</v>
      </c>
      <c r="AB52" t="str">
        <f t="shared" si="106"/>
        <v>非书面答辩</v>
      </c>
      <c r="AC52" t="str">
        <f t="shared" si="9"/>
        <v>学生未填写</v>
      </c>
      <c r="AD52" t="str">
        <f t="shared" si="10"/>
        <v>未填写</v>
      </c>
      <c r="AE52" t="str">
        <f t="shared" si="11"/>
        <v>未签名</v>
      </c>
    </row>
    <row r="53" hidden="1" spans="1:31">
      <c r="A53" t="str">
        <f>"林启明"</f>
        <v>林启明</v>
      </c>
      <c r="B53" t="str">
        <f>"2217111115005"</f>
        <v>2217111115005</v>
      </c>
      <c r="C53" t="s">
        <v>120</v>
      </c>
      <c r="D53" t="str">
        <f t="shared" si="135"/>
        <v>视觉传达22262</v>
      </c>
      <c r="E53" t="str">
        <f t="shared" si="94"/>
        <v>2022</v>
      </c>
      <c r="F53" t="str">
        <f t="shared" si="1"/>
        <v>东莞电研院</v>
      </c>
      <c r="G53" t="str">
        <f t="shared" si="2"/>
        <v>专升本</v>
      </c>
      <c r="H53" t="str">
        <f t="shared" si="136"/>
        <v>视觉传达设计</v>
      </c>
      <c r="I53" t="str">
        <f t="shared" si="96"/>
        <v>业余</v>
      </c>
      <c r="J53" t="str">
        <f t="shared" si="137"/>
        <v>徐蓉</v>
      </c>
      <c r="K53" t="s">
        <v>44</v>
      </c>
      <c r="L53" t="s">
        <v>117</v>
      </c>
      <c r="M53" t="s">
        <v>118</v>
      </c>
      <c r="Q53" t="str">
        <f t="shared" si="103"/>
        <v>未选择</v>
      </c>
      <c r="U53" t="str">
        <f t="shared" ref="U53:W53" si="142">"-"</f>
        <v>-</v>
      </c>
      <c r="V53" t="str">
        <f t="shared" si="142"/>
        <v>-</v>
      </c>
      <c r="W53" t="str">
        <f t="shared" si="142"/>
        <v>-</v>
      </c>
      <c r="X53" t="str">
        <f t="shared" si="6"/>
        <v>未填写</v>
      </c>
      <c r="Y53" t="str">
        <f t="shared" ref="Y53:AA53" si="143">"未上传"</f>
        <v>未上传</v>
      </c>
      <c r="Z53" t="str">
        <f t="shared" si="143"/>
        <v>未上传</v>
      </c>
      <c r="AA53" t="str">
        <f t="shared" si="143"/>
        <v>未上传</v>
      </c>
      <c r="AB53" t="str">
        <f t="shared" si="106"/>
        <v>非书面答辩</v>
      </c>
      <c r="AC53" t="str">
        <f t="shared" si="9"/>
        <v>学生未填写</v>
      </c>
      <c r="AD53" t="str">
        <f t="shared" si="10"/>
        <v>未填写</v>
      </c>
      <c r="AE53" t="str">
        <f t="shared" si="11"/>
        <v>未签名</v>
      </c>
    </row>
    <row r="54" hidden="1" spans="1:31">
      <c r="A54" t="str">
        <f>"罗家华"</f>
        <v>罗家华</v>
      </c>
      <c r="B54" t="str">
        <f>"2217111115006"</f>
        <v>2217111115006</v>
      </c>
      <c r="C54" t="s">
        <v>121</v>
      </c>
      <c r="D54" t="str">
        <f t="shared" si="135"/>
        <v>视觉传达22262</v>
      </c>
      <c r="E54" t="str">
        <f t="shared" si="94"/>
        <v>2022</v>
      </c>
      <c r="F54" t="str">
        <f t="shared" si="1"/>
        <v>东莞电研院</v>
      </c>
      <c r="G54" t="str">
        <f t="shared" si="2"/>
        <v>专升本</v>
      </c>
      <c r="H54" t="str">
        <f t="shared" si="136"/>
        <v>视觉传达设计</v>
      </c>
      <c r="I54" t="str">
        <f t="shared" si="96"/>
        <v>业余</v>
      </c>
      <c r="J54" t="str">
        <f t="shared" si="137"/>
        <v>徐蓉</v>
      </c>
      <c r="K54" t="s">
        <v>44</v>
      </c>
      <c r="L54" t="s">
        <v>117</v>
      </c>
      <c r="M54" t="s">
        <v>118</v>
      </c>
      <c r="Q54" t="str">
        <f t="shared" si="103"/>
        <v>未选择</v>
      </c>
      <c r="U54" t="str">
        <f t="shared" ref="U54:W54" si="144">"-"</f>
        <v>-</v>
      </c>
      <c r="V54" t="str">
        <f t="shared" si="144"/>
        <v>-</v>
      </c>
      <c r="W54" t="str">
        <f t="shared" si="144"/>
        <v>-</v>
      </c>
      <c r="X54" t="str">
        <f t="shared" si="6"/>
        <v>未填写</v>
      </c>
      <c r="Y54" t="str">
        <f t="shared" ref="Y54:AA54" si="145">"未上传"</f>
        <v>未上传</v>
      </c>
      <c r="Z54" t="str">
        <f t="shared" si="145"/>
        <v>未上传</v>
      </c>
      <c r="AA54" t="str">
        <f t="shared" si="145"/>
        <v>未上传</v>
      </c>
      <c r="AB54" t="str">
        <f t="shared" si="106"/>
        <v>非书面答辩</v>
      </c>
      <c r="AC54" t="str">
        <f t="shared" si="9"/>
        <v>学生未填写</v>
      </c>
      <c r="AD54" t="str">
        <f t="shared" si="10"/>
        <v>未填写</v>
      </c>
      <c r="AE54" t="str">
        <f t="shared" si="11"/>
        <v>未签名</v>
      </c>
    </row>
    <row r="55" spans="1:31">
      <c r="A55" t="str">
        <f>"车俊杰"</f>
        <v>车俊杰</v>
      </c>
      <c r="B55" t="str">
        <f>"2217112116004"</f>
        <v>2217112116004</v>
      </c>
      <c r="C55" t="s">
        <v>122</v>
      </c>
      <c r="D55" t="str">
        <f t="shared" ref="D55:D58" si="146">"财管22003"</f>
        <v>财管22003</v>
      </c>
      <c r="E55" t="str">
        <f t="shared" si="94"/>
        <v>2022</v>
      </c>
      <c r="F55" t="str">
        <f t="shared" si="1"/>
        <v>东莞电研院</v>
      </c>
      <c r="G55" t="str">
        <f t="shared" si="2"/>
        <v>专升本</v>
      </c>
      <c r="H55" t="str">
        <f t="shared" ref="H55:H58" si="147">"财务管理"</f>
        <v>财务管理</v>
      </c>
      <c r="I55" t="str">
        <f t="shared" ref="I55:I99" si="148">"函授"</f>
        <v>函授</v>
      </c>
      <c r="J55" t="str">
        <f t="shared" ref="J55:J58" si="149">"吕文娟"</f>
        <v>吕文娟</v>
      </c>
      <c r="K55" t="s">
        <v>32</v>
      </c>
      <c r="L55" t="s">
        <v>99</v>
      </c>
      <c r="M55" t="s">
        <v>100</v>
      </c>
      <c r="Q55" t="str">
        <f t="shared" si="103"/>
        <v>未选择</v>
      </c>
      <c r="U55" t="str">
        <f t="shared" ref="U55:W55" si="150">"-"</f>
        <v>-</v>
      </c>
      <c r="V55" t="str">
        <f t="shared" si="150"/>
        <v>-</v>
      </c>
      <c r="W55" t="str">
        <f t="shared" si="150"/>
        <v>-</v>
      </c>
      <c r="X55" t="str">
        <f t="shared" si="6"/>
        <v>未填写</v>
      </c>
      <c r="Y55" t="str">
        <f t="shared" ref="Y55:AA55" si="151">"未上传"</f>
        <v>未上传</v>
      </c>
      <c r="Z55" t="str">
        <f t="shared" si="151"/>
        <v>未上传</v>
      </c>
      <c r="AA55" t="str">
        <f t="shared" si="151"/>
        <v>未上传</v>
      </c>
      <c r="AB55" t="str">
        <f t="shared" si="106"/>
        <v>非书面答辩</v>
      </c>
      <c r="AC55" t="str">
        <f t="shared" si="9"/>
        <v>学生未填写</v>
      </c>
      <c r="AD55" t="str">
        <f t="shared" si="10"/>
        <v>未填写</v>
      </c>
      <c r="AE55" t="str">
        <f t="shared" si="11"/>
        <v>未签名</v>
      </c>
    </row>
    <row r="56" spans="1:31">
      <c r="A56" t="str">
        <f>"陈田梅"</f>
        <v>陈田梅</v>
      </c>
      <c r="B56" t="str">
        <f>"2217112116005"</f>
        <v>2217112116005</v>
      </c>
      <c r="C56" t="s">
        <v>123</v>
      </c>
      <c r="D56" t="str">
        <f t="shared" si="146"/>
        <v>财管22003</v>
      </c>
      <c r="E56" t="str">
        <f t="shared" si="94"/>
        <v>2022</v>
      </c>
      <c r="F56" t="str">
        <f t="shared" si="1"/>
        <v>东莞电研院</v>
      </c>
      <c r="G56" t="str">
        <f t="shared" si="2"/>
        <v>专升本</v>
      </c>
      <c r="H56" t="str">
        <f t="shared" si="147"/>
        <v>财务管理</v>
      </c>
      <c r="I56" t="str">
        <f t="shared" si="148"/>
        <v>函授</v>
      </c>
      <c r="J56" t="str">
        <f>"杨光"</f>
        <v>杨光</v>
      </c>
      <c r="K56" t="s">
        <v>32</v>
      </c>
      <c r="L56" t="s">
        <v>82</v>
      </c>
      <c r="M56" t="s">
        <v>83</v>
      </c>
      <c r="Q56" t="str">
        <f t="shared" si="103"/>
        <v>未选择</v>
      </c>
      <c r="U56" t="str">
        <f t="shared" ref="U56:W56" si="152">"-"</f>
        <v>-</v>
      </c>
      <c r="V56" t="str">
        <f t="shared" si="152"/>
        <v>-</v>
      </c>
      <c r="W56" t="str">
        <f t="shared" si="152"/>
        <v>-</v>
      </c>
      <c r="X56" t="str">
        <f t="shared" si="6"/>
        <v>未填写</v>
      </c>
      <c r="Y56" t="str">
        <f t="shared" ref="Y56:AA56" si="153">"未上传"</f>
        <v>未上传</v>
      </c>
      <c r="Z56" t="str">
        <f t="shared" si="153"/>
        <v>未上传</v>
      </c>
      <c r="AA56" t="str">
        <f t="shared" si="153"/>
        <v>未上传</v>
      </c>
      <c r="AB56" t="str">
        <f t="shared" si="106"/>
        <v>非书面答辩</v>
      </c>
      <c r="AC56" t="str">
        <f t="shared" si="9"/>
        <v>学生未填写</v>
      </c>
      <c r="AD56" t="str">
        <f t="shared" si="10"/>
        <v>未填写</v>
      </c>
      <c r="AE56" t="str">
        <f t="shared" si="11"/>
        <v>未签名</v>
      </c>
    </row>
    <row r="57" spans="1:31">
      <c r="A57" t="str">
        <f>"吴浩锐"</f>
        <v>吴浩锐</v>
      </c>
      <c r="B57" t="str">
        <f>"2217112116016"</f>
        <v>2217112116016</v>
      </c>
      <c r="C57" t="s">
        <v>124</v>
      </c>
      <c r="D57" t="str">
        <f t="shared" si="146"/>
        <v>财管22003</v>
      </c>
      <c r="E57" t="str">
        <f t="shared" si="94"/>
        <v>2022</v>
      </c>
      <c r="F57" t="str">
        <f t="shared" si="1"/>
        <v>东莞电研院</v>
      </c>
      <c r="G57" t="str">
        <f t="shared" si="2"/>
        <v>专升本</v>
      </c>
      <c r="H57" t="str">
        <f t="shared" si="147"/>
        <v>财务管理</v>
      </c>
      <c r="I57" t="str">
        <f t="shared" si="148"/>
        <v>函授</v>
      </c>
      <c r="J57" t="str">
        <f t="shared" si="149"/>
        <v>吕文娟</v>
      </c>
      <c r="K57" t="s">
        <v>32</v>
      </c>
      <c r="L57" t="s">
        <v>99</v>
      </c>
      <c r="M57" t="s">
        <v>100</v>
      </c>
      <c r="Q57" t="str">
        <f t="shared" si="103"/>
        <v>未选择</v>
      </c>
      <c r="U57" t="str">
        <f t="shared" ref="U57:W57" si="154">"-"</f>
        <v>-</v>
      </c>
      <c r="V57" t="str">
        <f t="shared" si="154"/>
        <v>-</v>
      </c>
      <c r="W57" t="str">
        <f t="shared" si="154"/>
        <v>-</v>
      </c>
      <c r="X57" t="str">
        <f t="shared" si="6"/>
        <v>未填写</v>
      </c>
      <c r="Y57" t="str">
        <f t="shared" ref="Y57:AA57" si="155">"未上传"</f>
        <v>未上传</v>
      </c>
      <c r="Z57" t="str">
        <f t="shared" si="155"/>
        <v>未上传</v>
      </c>
      <c r="AA57" t="str">
        <f t="shared" si="155"/>
        <v>未上传</v>
      </c>
      <c r="AB57" t="str">
        <f t="shared" si="106"/>
        <v>非书面答辩</v>
      </c>
      <c r="AC57" t="str">
        <f t="shared" si="9"/>
        <v>学生未填写</v>
      </c>
      <c r="AD57" t="str">
        <f t="shared" si="10"/>
        <v>未填写</v>
      </c>
      <c r="AE57" t="str">
        <f t="shared" si="11"/>
        <v>未签名</v>
      </c>
    </row>
    <row r="58" spans="1:31">
      <c r="A58" t="str">
        <f>"杨怡娣"</f>
        <v>杨怡娣</v>
      </c>
      <c r="B58" t="str">
        <f>"2217112116022"</f>
        <v>2217112116022</v>
      </c>
      <c r="C58" t="s">
        <v>125</v>
      </c>
      <c r="D58" t="str">
        <f t="shared" si="146"/>
        <v>财管22003</v>
      </c>
      <c r="E58" t="str">
        <f t="shared" si="94"/>
        <v>2022</v>
      </c>
      <c r="F58" t="str">
        <f t="shared" si="1"/>
        <v>东莞电研院</v>
      </c>
      <c r="G58" t="str">
        <f t="shared" si="2"/>
        <v>专升本</v>
      </c>
      <c r="H58" t="str">
        <f t="shared" si="147"/>
        <v>财务管理</v>
      </c>
      <c r="I58" t="str">
        <f t="shared" si="148"/>
        <v>函授</v>
      </c>
      <c r="J58" t="str">
        <f t="shared" si="149"/>
        <v>吕文娟</v>
      </c>
      <c r="K58" t="s">
        <v>32</v>
      </c>
      <c r="L58" t="s">
        <v>99</v>
      </c>
      <c r="M58" t="s">
        <v>100</v>
      </c>
      <c r="Q58" t="str">
        <f t="shared" si="103"/>
        <v>未选择</v>
      </c>
      <c r="U58" t="str">
        <f t="shared" ref="U58:W58" si="156">"-"</f>
        <v>-</v>
      </c>
      <c r="V58" t="str">
        <f t="shared" si="156"/>
        <v>-</v>
      </c>
      <c r="W58" t="str">
        <f t="shared" si="156"/>
        <v>-</v>
      </c>
      <c r="X58" t="str">
        <f t="shared" si="6"/>
        <v>未填写</v>
      </c>
      <c r="Y58" t="str">
        <f t="shared" ref="Y58:AA58" si="157">"未上传"</f>
        <v>未上传</v>
      </c>
      <c r="Z58" t="str">
        <f t="shared" si="157"/>
        <v>未上传</v>
      </c>
      <c r="AA58" t="str">
        <f t="shared" si="157"/>
        <v>未上传</v>
      </c>
      <c r="AB58" t="str">
        <f t="shared" si="106"/>
        <v>非书面答辩</v>
      </c>
      <c r="AC58" t="str">
        <f t="shared" si="9"/>
        <v>学生未填写</v>
      </c>
      <c r="AD58" t="str">
        <f t="shared" si="10"/>
        <v>未填写</v>
      </c>
      <c r="AE58" t="str">
        <f t="shared" si="11"/>
        <v>未签名</v>
      </c>
    </row>
    <row r="59" spans="1:31">
      <c r="A59" t="str">
        <f>"陈慧珊"</f>
        <v>陈慧珊</v>
      </c>
      <c r="B59" t="str">
        <f>"2217112117002"</f>
        <v>2217112117002</v>
      </c>
      <c r="C59" t="s">
        <v>126</v>
      </c>
      <c r="D59" t="str">
        <f t="shared" ref="D59:D70" si="158">"工管22101"</f>
        <v>工管22101</v>
      </c>
      <c r="E59" t="str">
        <f t="shared" si="94"/>
        <v>2022</v>
      </c>
      <c r="F59" t="str">
        <f t="shared" si="1"/>
        <v>东莞电研院</v>
      </c>
      <c r="G59" t="str">
        <f t="shared" si="2"/>
        <v>专升本</v>
      </c>
      <c r="H59" t="str">
        <f t="shared" ref="H59:H70" si="159">"工商管理"</f>
        <v>工商管理</v>
      </c>
      <c r="I59" t="str">
        <f t="shared" si="148"/>
        <v>函授</v>
      </c>
      <c r="J59" t="str">
        <f>"黄常喜"</f>
        <v>黄常喜</v>
      </c>
      <c r="K59" t="s">
        <v>32</v>
      </c>
      <c r="L59" t="s">
        <v>85</v>
      </c>
      <c r="M59" t="s">
        <v>42</v>
      </c>
      <c r="Q59" t="str">
        <f t="shared" si="103"/>
        <v>未选择</v>
      </c>
      <c r="U59" t="str">
        <f t="shared" ref="U59:W59" si="160">"-"</f>
        <v>-</v>
      </c>
      <c r="V59" t="str">
        <f t="shared" si="160"/>
        <v>-</v>
      </c>
      <c r="W59" t="str">
        <f t="shared" si="160"/>
        <v>-</v>
      </c>
      <c r="X59" t="str">
        <f t="shared" si="6"/>
        <v>未填写</v>
      </c>
      <c r="Y59" t="str">
        <f t="shared" ref="Y59:AA59" si="161">"未上传"</f>
        <v>未上传</v>
      </c>
      <c r="Z59" t="str">
        <f t="shared" si="161"/>
        <v>未上传</v>
      </c>
      <c r="AA59" t="str">
        <f t="shared" si="161"/>
        <v>未上传</v>
      </c>
      <c r="AB59" t="str">
        <f t="shared" si="106"/>
        <v>非书面答辩</v>
      </c>
      <c r="AC59" t="str">
        <f t="shared" si="9"/>
        <v>学生未填写</v>
      </c>
      <c r="AD59" t="str">
        <f t="shared" si="10"/>
        <v>未填写</v>
      </c>
      <c r="AE59" t="str">
        <f t="shared" si="11"/>
        <v>未签名</v>
      </c>
    </row>
    <row r="60" spans="1:31">
      <c r="A60" t="str">
        <f>"单晓君"</f>
        <v>单晓君</v>
      </c>
      <c r="B60" t="str">
        <f>"2217112117006"</f>
        <v>2217112117006</v>
      </c>
      <c r="C60" t="s">
        <v>127</v>
      </c>
      <c r="D60" t="str">
        <f t="shared" si="158"/>
        <v>工管22101</v>
      </c>
      <c r="E60" t="str">
        <f t="shared" si="94"/>
        <v>2022</v>
      </c>
      <c r="F60" t="str">
        <f t="shared" si="1"/>
        <v>东莞电研院</v>
      </c>
      <c r="G60" t="str">
        <f t="shared" si="2"/>
        <v>专升本</v>
      </c>
      <c r="H60" t="str">
        <f t="shared" si="159"/>
        <v>工商管理</v>
      </c>
      <c r="I60" t="str">
        <f t="shared" si="148"/>
        <v>函授</v>
      </c>
      <c r="J60" t="str">
        <f>"郭新凯"</f>
        <v>郭新凯</v>
      </c>
      <c r="K60" t="s">
        <v>32</v>
      </c>
      <c r="L60" t="s">
        <v>128</v>
      </c>
      <c r="M60" t="s">
        <v>129</v>
      </c>
      <c r="N60" t="str">
        <f>"敏捷房地产公司的绩效管理研究"</f>
        <v>敏捷房地产公司的绩效管理研究</v>
      </c>
      <c r="O60" t="str">
        <f>"绩效研究"</f>
        <v>绩效研究</v>
      </c>
      <c r="P60" t="str">
        <f>"绩效管理;房地产行业;问题与对策;成功因素"</f>
        <v>绩效管理;房地产行业;问题与对策;成功因素</v>
      </c>
      <c r="Q60" t="str">
        <f>"现场答辩"</f>
        <v>现场答辩</v>
      </c>
      <c r="R60" t="str">
        <f>"毕业论文"</f>
        <v>毕业论文</v>
      </c>
      <c r="S60" t="str">
        <f>"中文"</f>
        <v>中文</v>
      </c>
      <c r="T60" t="str">
        <f>"学校自选项目"</f>
        <v>学校自选项目</v>
      </c>
      <c r="U60" t="str">
        <f>"未审核"</f>
        <v>未审核</v>
      </c>
      <c r="X60" t="str">
        <f t="shared" si="6"/>
        <v>未填写</v>
      </c>
      <c r="Y60" t="str">
        <f t="shared" ref="Y60:AA60" si="162">"未上传"</f>
        <v>未上传</v>
      </c>
      <c r="Z60" t="str">
        <f t="shared" si="162"/>
        <v>未上传</v>
      </c>
      <c r="AA60" t="str">
        <f t="shared" si="162"/>
        <v>未上传</v>
      </c>
      <c r="AB60" t="str">
        <f t="shared" si="106"/>
        <v>非书面答辩</v>
      </c>
      <c r="AC60" t="str">
        <f t="shared" si="9"/>
        <v>学生未填写</v>
      </c>
      <c r="AD60" t="str">
        <f t="shared" si="10"/>
        <v>未填写</v>
      </c>
      <c r="AE60" t="str">
        <f t="shared" si="11"/>
        <v>未签名</v>
      </c>
    </row>
    <row r="61" spans="1:31">
      <c r="A61" t="str">
        <f>"何冠枝"</f>
        <v>何冠枝</v>
      </c>
      <c r="B61" t="str">
        <f>"2217112117008"</f>
        <v>2217112117008</v>
      </c>
      <c r="C61" t="s">
        <v>130</v>
      </c>
      <c r="D61" t="str">
        <f t="shared" si="158"/>
        <v>工管22101</v>
      </c>
      <c r="E61" t="str">
        <f t="shared" si="94"/>
        <v>2022</v>
      </c>
      <c r="F61" t="str">
        <f t="shared" si="1"/>
        <v>东莞电研院</v>
      </c>
      <c r="G61" t="str">
        <f t="shared" si="2"/>
        <v>专升本</v>
      </c>
      <c r="H61" t="str">
        <f t="shared" si="159"/>
        <v>工商管理</v>
      </c>
      <c r="I61" t="str">
        <f t="shared" si="148"/>
        <v>函授</v>
      </c>
      <c r="J61" t="str">
        <f>"郭新凯"</f>
        <v>郭新凯</v>
      </c>
      <c r="K61" t="s">
        <v>32</v>
      </c>
      <c r="L61" t="s">
        <v>128</v>
      </c>
      <c r="M61" t="s">
        <v>129</v>
      </c>
      <c r="Q61" t="str">
        <f t="shared" ref="Q61:Q74" si="163">"未选择"</f>
        <v>未选择</v>
      </c>
      <c r="U61" t="str">
        <f t="shared" ref="U61:W61" si="164">"-"</f>
        <v>-</v>
      </c>
      <c r="V61" t="str">
        <f t="shared" si="164"/>
        <v>-</v>
      </c>
      <c r="W61" t="str">
        <f t="shared" si="164"/>
        <v>-</v>
      </c>
      <c r="X61" t="str">
        <f t="shared" si="6"/>
        <v>未填写</v>
      </c>
      <c r="Y61" t="str">
        <f t="shared" ref="Y61:AA61" si="165">"未上传"</f>
        <v>未上传</v>
      </c>
      <c r="Z61" t="str">
        <f t="shared" si="165"/>
        <v>未上传</v>
      </c>
      <c r="AA61" t="str">
        <f t="shared" si="165"/>
        <v>未上传</v>
      </c>
      <c r="AB61" t="str">
        <f t="shared" si="106"/>
        <v>非书面答辩</v>
      </c>
      <c r="AC61" t="str">
        <f t="shared" si="9"/>
        <v>学生未填写</v>
      </c>
      <c r="AD61" t="str">
        <f t="shared" si="10"/>
        <v>未填写</v>
      </c>
      <c r="AE61" t="str">
        <f t="shared" si="11"/>
        <v>未签名</v>
      </c>
    </row>
    <row r="62" spans="1:31">
      <c r="A62" t="str">
        <f>"黄文凯"</f>
        <v>黄文凯</v>
      </c>
      <c r="B62" t="str">
        <f>"2217112117018"</f>
        <v>2217112117018</v>
      </c>
      <c r="C62" t="s">
        <v>131</v>
      </c>
      <c r="D62" t="str">
        <f t="shared" si="158"/>
        <v>工管22101</v>
      </c>
      <c r="E62" t="str">
        <f t="shared" si="94"/>
        <v>2022</v>
      </c>
      <c r="F62" t="str">
        <f t="shared" si="1"/>
        <v>东莞电研院</v>
      </c>
      <c r="G62" t="str">
        <f t="shared" si="2"/>
        <v>专升本</v>
      </c>
      <c r="H62" t="str">
        <f t="shared" si="159"/>
        <v>工商管理</v>
      </c>
      <c r="I62" t="str">
        <f t="shared" si="148"/>
        <v>函授</v>
      </c>
      <c r="J62" t="str">
        <f>"黄常喜"</f>
        <v>黄常喜</v>
      </c>
      <c r="K62" t="s">
        <v>32</v>
      </c>
      <c r="L62" t="s">
        <v>85</v>
      </c>
      <c r="M62" t="s">
        <v>42</v>
      </c>
      <c r="Q62" t="str">
        <f t="shared" si="163"/>
        <v>未选择</v>
      </c>
      <c r="U62" t="str">
        <f t="shared" ref="U62:W62" si="166">"-"</f>
        <v>-</v>
      </c>
      <c r="V62" t="str">
        <f t="shared" si="166"/>
        <v>-</v>
      </c>
      <c r="W62" t="str">
        <f t="shared" si="166"/>
        <v>-</v>
      </c>
      <c r="X62" t="str">
        <f t="shared" si="6"/>
        <v>未填写</v>
      </c>
      <c r="Y62" t="str">
        <f t="shared" ref="Y62:AA62" si="167">"未上传"</f>
        <v>未上传</v>
      </c>
      <c r="Z62" t="str">
        <f t="shared" si="167"/>
        <v>未上传</v>
      </c>
      <c r="AA62" t="str">
        <f t="shared" si="167"/>
        <v>未上传</v>
      </c>
      <c r="AB62" t="str">
        <f t="shared" si="106"/>
        <v>非书面答辩</v>
      </c>
      <c r="AC62" t="str">
        <f t="shared" si="9"/>
        <v>学生未填写</v>
      </c>
      <c r="AD62" t="str">
        <f t="shared" si="10"/>
        <v>未填写</v>
      </c>
      <c r="AE62" t="str">
        <f t="shared" si="11"/>
        <v>未签名</v>
      </c>
    </row>
    <row r="63" hidden="1" spans="1:31">
      <c r="A63" t="str">
        <f>"黄梓宸"</f>
        <v>黄梓宸</v>
      </c>
      <c r="B63" t="str">
        <f>"2217112117019"</f>
        <v>2217112117019</v>
      </c>
      <c r="C63" t="s">
        <v>132</v>
      </c>
      <c r="D63" t="str">
        <f t="shared" si="158"/>
        <v>工管22101</v>
      </c>
      <c r="E63" t="str">
        <f t="shared" si="94"/>
        <v>2022</v>
      </c>
      <c r="F63" t="str">
        <f t="shared" si="1"/>
        <v>东莞电研院</v>
      </c>
      <c r="G63" t="str">
        <f t="shared" si="2"/>
        <v>专升本</v>
      </c>
      <c r="H63" t="str">
        <f t="shared" si="159"/>
        <v>工商管理</v>
      </c>
      <c r="I63" t="str">
        <f t="shared" si="148"/>
        <v>函授</v>
      </c>
      <c r="J63" t="str">
        <f>"姚永红"</f>
        <v>姚永红</v>
      </c>
      <c r="K63" t="s">
        <v>44</v>
      </c>
      <c r="L63" t="s">
        <v>133</v>
      </c>
      <c r="M63" t="str">
        <f>"13760660101@qq.com"</f>
        <v>13760660101@qq.com</v>
      </c>
      <c r="Q63" t="str">
        <f t="shared" si="163"/>
        <v>未选择</v>
      </c>
      <c r="U63" t="str">
        <f t="shared" ref="U63:W63" si="168">"-"</f>
        <v>-</v>
      </c>
      <c r="V63" t="str">
        <f t="shared" si="168"/>
        <v>-</v>
      </c>
      <c r="W63" t="str">
        <f t="shared" si="168"/>
        <v>-</v>
      </c>
      <c r="X63" t="str">
        <f t="shared" si="6"/>
        <v>未填写</v>
      </c>
      <c r="Y63" t="str">
        <f t="shared" ref="Y63:AA63" si="169">"未上传"</f>
        <v>未上传</v>
      </c>
      <c r="Z63" t="str">
        <f t="shared" si="169"/>
        <v>未上传</v>
      </c>
      <c r="AA63" t="str">
        <f t="shared" si="169"/>
        <v>未上传</v>
      </c>
      <c r="AB63" t="str">
        <f t="shared" si="106"/>
        <v>非书面答辩</v>
      </c>
      <c r="AC63" t="str">
        <f t="shared" si="9"/>
        <v>学生未填写</v>
      </c>
      <c r="AD63" t="str">
        <f t="shared" si="10"/>
        <v>未填写</v>
      </c>
      <c r="AE63" t="str">
        <f t="shared" si="11"/>
        <v>未签名</v>
      </c>
    </row>
    <row r="64" spans="1:31">
      <c r="A64" t="str">
        <f>"李嘉明"</f>
        <v>李嘉明</v>
      </c>
      <c r="B64" t="str">
        <f>"2217112117023"</f>
        <v>2217112117023</v>
      </c>
      <c r="C64" t="s">
        <v>134</v>
      </c>
      <c r="D64" t="str">
        <f t="shared" si="158"/>
        <v>工管22101</v>
      </c>
      <c r="E64" t="str">
        <f t="shared" si="94"/>
        <v>2022</v>
      </c>
      <c r="F64" t="str">
        <f t="shared" si="1"/>
        <v>东莞电研院</v>
      </c>
      <c r="G64" t="str">
        <f t="shared" si="2"/>
        <v>专升本</v>
      </c>
      <c r="H64" t="str">
        <f t="shared" si="159"/>
        <v>工商管理</v>
      </c>
      <c r="I64" t="str">
        <f t="shared" si="148"/>
        <v>函授</v>
      </c>
      <c r="J64" t="str">
        <f t="shared" ref="J64:J68" si="170">"黄子明"</f>
        <v>黄子明</v>
      </c>
      <c r="K64" t="s">
        <v>32</v>
      </c>
      <c r="L64" t="s">
        <v>135</v>
      </c>
      <c r="M64" t="s">
        <v>136</v>
      </c>
      <c r="Q64" t="str">
        <f t="shared" si="163"/>
        <v>未选择</v>
      </c>
      <c r="U64" t="str">
        <f t="shared" ref="U64:W64" si="171">"-"</f>
        <v>-</v>
      </c>
      <c r="V64" t="str">
        <f t="shared" si="171"/>
        <v>-</v>
      </c>
      <c r="W64" t="str">
        <f t="shared" si="171"/>
        <v>-</v>
      </c>
      <c r="X64" t="str">
        <f t="shared" si="6"/>
        <v>未填写</v>
      </c>
      <c r="Y64" t="str">
        <f t="shared" ref="Y64:AA64" si="172">"未上传"</f>
        <v>未上传</v>
      </c>
      <c r="Z64" t="str">
        <f t="shared" si="172"/>
        <v>未上传</v>
      </c>
      <c r="AA64" t="str">
        <f t="shared" si="172"/>
        <v>未上传</v>
      </c>
      <c r="AB64" t="str">
        <f t="shared" si="106"/>
        <v>非书面答辩</v>
      </c>
      <c r="AC64" t="str">
        <f t="shared" si="9"/>
        <v>学生未填写</v>
      </c>
      <c r="AD64" t="str">
        <f t="shared" si="10"/>
        <v>未填写</v>
      </c>
      <c r="AE64" t="str">
        <f t="shared" si="11"/>
        <v>未签名</v>
      </c>
    </row>
    <row r="65" spans="1:31">
      <c r="A65" t="str">
        <f>"李其蔓"</f>
        <v>李其蔓</v>
      </c>
      <c r="B65" t="str">
        <f>"2217112117024"</f>
        <v>2217112117024</v>
      </c>
      <c r="C65" t="s">
        <v>137</v>
      </c>
      <c r="D65" t="str">
        <f t="shared" si="158"/>
        <v>工管22101</v>
      </c>
      <c r="E65" t="str">
        <f t="shared" si="94"/>
        <v>2022</v>
      </c>
      <c r="F65" t="str">
        <f t="shared" si="1"/>
        <v>东莞电研院</v>
      </c>
      <c r="G65" t="str">
        <f t="shared" si="2"/>
        <v>专升本</v>
      </c>
      <c r="H65" t="str">
        <f t="shared" si="159"/>
        <v>工商管理</v>
      </c>
      <c r="I65" t="str">
        <f t="shared" si="148"/>
        <v>函授</v>
      </c>
      <c r="J65" t="str">
        <f t="shared" si="170"/>
        <v>黄子明</v>
      </c>
      <c r="K65" t="s">
        <v>32</v>
      </c>
      <c r="L65" t="s">
        <v>135</v>
      </c>
      <c r="M65" t="s">
        <v>136</v>
      </c>
      <c r="Q65" t="str">
        <f t="shared" si="163"/>
        <v>未选择</v>
      </c>
      <c r="U65" t="str">
        <f t="shared" ref="U65:W65" si="173">"-"</f>
        <v>-</v>
      </c>
      <c r="V65" t="str">
        <f t="shared" si="173"/>
        <v>-</v>
      </c>
      <c r="W65" t="str">
        <f t="shared" si="173"/>
        <v>-</v>
      </c>
      <c r="X65" t="str">
        <f t="shared" si="6"/>
        <v>未填写</v>
      </c>
      <c r="Y65" t="str">
        <f t="shared" ref="Y65:AA65" si="174">"未上传"</f>
        <v>未上传</v>
      </c>
      <c r="Z65" t="str">
        <f t="shared" si="174"/>
        <v>未上传</v>
      </c>
      <c r="AA65" t="str">
        <f t="shared" si="174"/>
        <v>未上传</v>
      </c>
      <c r="AB65" t="str">
        <f t="shared" si="106"/>
        <v>非书面答辩</v>
      </c>
      <c r="AC65" t="str">
        <f t="shared" si="9"/>
        <v>学生未填写</v>
      </c>
      <c r="AD65" t="str">
        <f t="shared" si="10"/>
        <v>未填写</v>
      </c>
      <c r="AE65" t="str">
        <f t="shared" si="11"/>
        <v>未签名</v>
      </c>
    </row>
    <row r="66" spans="1:31">
      <c r="A66" t="str">
        <f>"李奇韬"</f>
        <v>李奇韬</v>
      </c>
      <c r="B66" t="str">
        <f>"2217112117025"</f>
        <v>2217112117025</v>
      </c>
      <c r="C66" t="s">
        <v>138</v>
      </c>
      <c r="D66" t="str">
        <f t="shared" si="158"/>
        <v>工管22101</v>
      </c>
      <c r="E66" t="str">
        <f t="shared" si="94"/>
        <v>2022</v>
      </c>
      <c r="F66" t="str">
        <f t="shared" ref="F66:F129" si="175">"东莞电研院"</f>
        <v>东莞电研院</v>
      </c>
      <c r="G66" t="str">
        <f t="shared" ref="G66:G129" si="176">"专升本"</f>
        <v>专升本</v>
      </c>
      <c r="H66" t="str">
        <f t="shared" si="159"/>
        <v>工商管理</v>
      </c>
      <c r="I66" t="str">
        <f t="shared" si="148"/>
        <v>函授</v>
      </c>
      <c r="J66" t="str">
        <f t="shared" si="170"/>
        <v>黄子明</v>
      </c>
      <c r="K66" t="s">
        <v>32</v>
      </c>
      <c r="L66" t="s">
        <v>135</v>
      </c>
      <c r="M66" t="s">
        <v>136</v>
      </c>
      <c r="Q66" t="str">
        <f t="shared" si="163"/>
        <v>未选择</v>
      </c>
      <c r="U66" t="str">
        <f t="shared" ref="U66:W66" si="177">"-"</f>
        <v>-</v>
      </c>
      <c r="V66" t="str">
        <f t="shared" si="177"/>
        <v>-</v>
      </c>
      <c r="W66" t="str">
        <f t="shared" si="177"/>
        <v>-</v>
      </c>
      <c r="X66" t="str">
        <f t="shared" ref="X66:X129" si="178">"未填写"</f>
        <v>未填写</v>
      </c>
      <c r="Y66" t="str">
        <f t="shared" ref="Y66:AA66" si="179">"未上传"</f>
        <v>未上传</v>
      </c>
      <c r="Z66" t="str">
        <f t="shared" si="179"/>
        <v>未上传</v>
      </c>
      <c r="AA66" t="str">
        <f t="shared" si="179"/>
        <v>未上传</v>
      </c>
      <c r="AB66" t="str">
        <f t="shared" si="106"/>
        <v>非书面答辩</v>
      </c>
      <c r="AC66" t="str">
        <f t="shared" ref="AC66:AC129" si="180">"学生未填写"</f>
        <v>学生未填写</v>
      </c>
      <c r="AD66" t="str">
        <f t="shared" ref="AD66:AD129" si="181">"未填写"</f>
        <v>未填写</v>
      </c>
      <c r="AE66" t="str">
        <f t="shared" ref="AE66:AE129" si="182">"未签名"</f>
        <v>未签名</v>
      </c>
    </row>
    <row r="67" spans="1:31">
      <c r="A67" t="str">
        <f>"廖嘉炜"</f>
        <v>廖嘉炜</v>
      </c>
      <c r="B67" t="str">
        <f>"2217112117027"</f>
        <v>2217112117027</v>
      </c>
      <c r="C67" t="s">
        <v>139</v>
      </c>
      <c r="D67" t="str">
        <f t="shared" si="158"/>
        <v>工管22101</v>
      </c>
      <c r="E67" t="str">
        <f t="shared" si="94"/>
        <v>2022</v>
      </c>
      <c r="F67" t="str">
        <f t="shared" si="175"/>
        <v>东莞电研院</v>
      </c>
      <c r="G67" t="str">
        <f t="shared" si="176"/>
        <v>专升本</v>
      </c>
      <c r="H67" t="str">
        <f t="shared" si="159"/>
        <v>工商管理</v>
      </c>
      <c r="I67" t="str">
        <f t="shared" si="148"/>
        <v>函授</v>
      </c>
      <c r="J67" t="str">
        <f t="shared" si="170"/>
        <v>黄子明</v>
      </c>
      <c r="K67" t="s">
        <v>32</v>
      </c>
      <c r="L67" t="s">
        <v>135</v>
      </c>
      <c r="M67" t="s">
        <v>136</v>
      </c>
      <c r="Q67" t="str">
        <f t="shared" si="163"/>
        <v>未选择</v>
      </c>
      <c r="U67" t="str">
        <f t="shared" ref="U67:W67" si="183">"-"</f>
        <v>-</v>
      </c>
      <c r="V67" t="str">
        <f t="shared" si="183"/>
        <v>-</v>
      </c>
      <c r="W67" t="str">
        <f t="shared" si="183"/>
        <v>-</v>
      </c>
      <c r="X67" t="str">
        <f t="shared" si="178"/>
        <v>未填写</v>
      </c>
      <c r="Y67" t="str">
        <f t="shared" ref="Y67:AA67" si="184">"未上传"</f>
        <v>未上传</v>
      </c>
      <c r="Z67" t="str">
        <f t="shared" si="184"/>
        <v>未上传</v>
      </c>
      <c r="AA67" t="str">
        <f t="shared" si="184"/>
        <v>未上传</v>
      </c>
      <c r="AB67" t="str">
        <f t="shared" si="106"/>
        <v>非书面答辩</v>
      </c>
      <c r="AC67" t="str">
        <f t="shared" si="180"/>
        <v>学生未填写</v>
      </c>
      <c r="AD67" t="str">
        <f t="shared" si="181"/>
        <v>未填写</v>
      </c>
      <c r="AE67" t="str">
        <f t="shared" si="182"/>
        <v>未签名</v>
      </c>
    </row>
    <row r="68" spans="1:31">
      <c r="A68" t="str">
        <f>"莫咏茵"</f>
        <v>莫咏茵</v>
      </c>
      <c r="B68" t="str">
        <f>"2217112117033"</f>
        <v>2217112117033</v>
      </c>
      <c r="C68" t="s">
        <v>140</v>
      </c>
      <c r="D68" t="str">
        <f t="shared" si="158"/>
        <v>工管22101</v>
      </c>
      <c r="E68" t="str">
        <f t="shared" si="94"/>
        <v>2022</v>
      </c>
      <c r="F68" t="str">
        <f t="shared" si="175"/>
        <v>东莞电研院</v>
      </c>
      <c r="G68" t="str">
        <f t="shared" si="176"/>
        <v>专升本</v>
      </c>
      <c r="H68" t="str">
        <f t="shared" si="159"/>
        <v>工商管理</v>
      </c>
      <c r="I68" t="str">
        <f t="shared" si="148"/>
        <v>函授</v>
      </c>
      <c r="J68" t="str">
        <f t="shared" si="170"/>
        <v>黄子明</v>
      </c>
      <c r="K68" t="s">
        <v>32</v>
      </c>
      <c r="L68" t="s">
        <v>135</v>
      </c>
      <c r="M68" t="s">
        <v>136</v>
      </c>
      <c r="Q68" t="str">
        <f t="shared" si="163"/>
        <v>未选择</v>
      </c>
      <c r="U68" t="str">
        <f t="shared" ref="U68:W68" si="185">"-"</f>
        <v>-</v>
      </c>
      <c r="V68" t="str">
        <f t="shared" si="185"/>
        <v>-</v>
      </c>
      <c r="W68" t="str">
        <f t="shared" si="185"/>
        <v>-</v>
      </c>
      <c r="X68" t="str">
        <f t="shared" si="178"/>
        <v>未填写</v>
      </c>
      <c r="Y68" t="str">
        <f t="shared" ref="Y68:AA68" si="186">"未上传"</f>
        <v>未上传</v>
      </c>
      <c r="Z68" t="str">
        <f t="shared" si="186"/>
        <v>未上传</v>
      </c>
      <c r="AA68" t="str">
        <f t="shared" si="186"/>
        <v>未上传</v>
      </c>
      <c r="AB68" t="str">
        <f t="shared" si="106"/>
        <v>非书面答辩</v>
      </c>
      <c r="AC68" t="str">
        <f t="shared" si="180"/>
        <v>学生未填写</v>
      </c>
      <c r="AD68" t="str">
        <f t="shared" si="181"/>
        <v>未填写</v>
      </c>
      <c r="AE68" t="str">
        <f t="shared" si="182"/>
        <v>未签名</v>
      </c>
    </row>
    <row r="69" spans="1:31">
      <c r="A69" t="str">
        <f>"于东华"</f>
        <v>于东华</v>
      </c>
      <c r="B69" t="str">
        <f>"2217112117043"</f>
        <v>2217112117043</v>
      </c>
      <c r="C69" t="s">
        <v>141</v>
      </c>
      <c r="D69" t="str">
        <f t="shared" si="158"/>
        <v>工管22101</v>
      </c>
      <c r="E69" t="str">
        <f t="shared" si="94"/>
        <v>2022</v>
      </c>
      <c r="F69" t="str">
        <f t="shared" si="175"/>
        <v>东莞电研院</v>
      </c>
      <c r="G69" t="str">
        <f t="shared" si="176"/>
        <v>专升本</v>
      </c>
      <c r="H69" t="str">
        <f t="shared" si="159"/>
        <v>工商管理</v>
      </c>
      <c r="I69" t="str">
        <f t="shared" si="148"/>
        <v>函授</v>
      </c>
      <c r="J69" t="str">
        <f>"黄常喜"</f>
        <v>黄常喜</v>
      </c>
      <c r="K69" t="s">
        <v>32</v>
      </c>
      <c r="L69" t="s">
        <v>85</v>
      </c>
      <c r="M69" t="s">
        <v>42</v>
      </c>
      <c r="Q69" t="str">
        <f t="shared" si="163"/>
        <v>未选择</v>
      </c>
      <c r="U69" t="str">
        <f t="shared" ref="U69:W69" si="187">"-"</f>
        <v>-</v>
      </c>
      <c r="V69" t="str">
        <f t="shared" si="187"/>
        <v>-</v>
      </c>
      <c r="W69" t="str">
        <f t="shared" si="187"/>
        <v>-</v>
      </c>
      <c r="X69" t="str">
        <f t="shared" si="178"/>
        <v>未填写</v>
      </c>
      <c r="Y69" t="str">
        <f t="shared" ref="Y69:AA69" si="188">"未上传"</f>
        <v>未上传</v>
      </c>
      <c r="Z69" t="str">
        <f t="shared" si="188"/>
        <v>未上传</v>
      </c>
      <c r="AA69" t="str">
        <f t="shared" si="188"/>
        <v>未上传</v>
      </c>
      <c r="AB69" t="str">
        <f t="shared" si="106"/>
        <v>非书面答辩</v>
      </c>
      <c r="AC69" t="str">
        <f t="shared" si="180"/>
        <v>学生未填写</v>
      </c>
      <c r="AD69" t="str">
        <f t="shared" si="181"/>
        <v>未填写</v>
      </c>
      <c r="AE69" t="str">
        <f t="shared" si="182"/>
        <v>未签名</v>
      </c>
    </row>
    <row r="70" spans="1:31">
      <c r="A70" t="str">
        <f>"钟文俊"</f>
        <v>钟文俊</v>
      </c>
      <c r="B70" t="str">
        <f>"2217112117046"</f>
        <v>2217112117046</v>
      </c>
      <c r="C70" t="s">
        <v>142</v>
      </c>
      <c r="D70" t="str">
        <f t="shared" si="158"/>
        <v>工管22101</v>
      </c>
      <c r="E70" t="str">
        <f t="shared" si="94"/>
        <v>2022</v>
      </c>
      <c r="F70" t="str">
        <f t="shared" si="175"/>
        <v>东莞电研院</v>
      </c>
      <c r="G70" t="str">
        <f t="shared" si="176"/>
        <v>专升本</v>
      </c>
      <c r="H70" t="str">
        <f t="shared" si="159"/>
        <v>工商管理</v>
      </c>
      <c r="I70" t="str">
        <f t="shared" si="148"/>
        <v>函授</v>
      </c>
      <c r="J70" t="str">
        <f>"黄常喜"</f>
        <v>黄常喜</v>
      </c>
      <c r="K70" t="s">
        <v>32</v>
      </c>
      <c r="L70" t="s">
        <v>85</v>
      </c>
      <c r="M70" t="s">
        <v>42</v>
      </c>
      <c r="Q70" t="str">
        <f t="shared" si="163"/>
        <v>未选择</v>
      </c>
      <c r="U70" t="str">
        <f t="shared" ref="U70:W70" si="189">"-"</f>
        <v>-</v>
      </c>
      <c r="V70" t="str">
        <f t="shared" si="189"/>
        <v>-</v>
      </c>
      <c r="W70" t="str">
        <f t="shared" si="189"/>
        <v>-</v>
      </c>
      <c r="X70" t="str">
        <f t="shared" si="178"/>
        <v>未填写</v>
      </c>
      <c r="Y70" t="str">
        <f t="shared" ref="Y70:AA70" si="190">"未上传"</f>
        <v>未上传</v>
      </c>
      <c r="Z70" t="str">
        <f t="shared" si="190"/>
        <v>未上传</v>
      </c>
      <c r="AA70" t="str">
        <f t="shared" si="190"/>
        <v>未上传</v>
      </c>
      <c r="AB70" t="str">
        <f t="shared" si="106"/>
        <v>非书面答辩</v>
      </c>
      <c r="AC70" t="str">
        <f t="shared" si="180"/>
        <v>学生未填写</v>
      </c>
      <c r="AD70" t="str">
        <f t="shared" si="181"/>
        <v>未填写</v>
      </c>
      <c r="AE70" t="str">
        <f t="shared" si="182"/>
        <v>未签名</v>
      </c>
    </row>
    <row r="71" hidden="1" spans="1:31">
      <c r="A71" t="str">
        <f>"曾金英"</f>
        <v>曾金英</v>
      </c>
      <c r="B71" t="str">
        <f>"2217112118001"</f>
        <v>2217112118001</v>
      </c>
      <c r="C71" t="s">
        <v>143</v>
      </c>
      <c r="D71" t="str">
        <f t="shared" ref="D71:D81" si="191">"行管22165"</f>
        <v>行管22165</v>
      </c>
      <c r="E71" t="str">
        <f t="shared" si="94"/>
        <v>2022</v>
      </c>
      <c r="F71" t="str">
        <f t="shared" si="175"/>
        <v>东莞电研院</v>
      </c>
      <c r="G71" t="str">
        <f t="shared" si="176"/>
        <v>专升本</v>
      </c>
      <c r="H71" t="str">
        <f t="shared" ref="H71:H81" si="192">"行政管理"</f>
        <v>行政管理</v>
      </c>
      <c r="I71" t="str">
        <f t="shared" si="148"/>
        <v>函授</v>
      </c>
      <c r="J71" t="str">
        <f t="shared" ref="J71:J75" si="193">"董国平"</f>
        <v>董国平</v>
      </c>
      <c r="K71" t="s">
        <v>44</v>
      </c>
      <c r="L71" t="s">
        <v>144</v>
      </c>
      <c r="M71" t="s">
        <v>145</v>
      </c>
      <c r="Q71" t="str">
        <f t="shared" si="163"/>
        <v>未选择</v>
      </c>
      <c r="U71" t="str">
        <f t="shared" ref="U71:W71" si="194">"-"</f>
        <v>-</v>
      </c>
      <c r="V71" t="str">
        <f t="shared" si="194"/>
        <v>-</v>
      </c>
      <c r="W71" t="str">
        <f t="shared" si="194"/>
        <v>-</v>
      </c>
      <c r="X71" t="str">
        <f t="shared" si="178"/>
        <v>未填写</v>
      </c>
      <c r="Y71" t="str">
        <f t="shared" ref="Y71:AA71" si="195">"未上传"</f>
        <v>未上传</v>
      </c>
      <c r="Z71" t="str">
        <f t="shared" si="195"/>
        <v>未上传</v>
      </c>
      <c r="AA71" t="str">
        <f t="shared" si="195"/>
        <v>未上传</v>
      </c>
      <c r="AB71" t="str">
        <f t="shared" si="106"/>
        <v>非书面答辩</v>
      </c>
      <c r="AC71" t="str">
        <f t="shared" si="180"/>
        <v>学生未填写</v>
      </c>
      <c r="AD71" t="str">
        <f t="shared" si="181"/>
        <v>未填写</v>
      </c>
      <c r="AE71" t="str">
        <f t="shared" si="182"/>
        <v>未签名</v>
      </c>
    </row>
    <row r="72" hidden="1" spans="1:31">
      <c r="A72" t="str">
        <f>"何丽华"</f>
        <v>何丽华</v>
      </c>
      <c r="B72" t="str">
        <f>"2217112118010"</f>
        <v>2217112118010</v>
      </c>
      <c r="C72" t="s">
        <v>146</v>
      </c>
      <c r="D72" t="str">
        <f t="shared" si="191"/>
        <v>行管22165</v>
      </c>
      <c r="E72" t="str">
        <f t="shared" si="94"/>
        <v>2022</v>
      </c>
      <c r="F72" t="str">
        <f t="shared" si="175"/>
        <v>东莞电研院</v>
      </c>
      <c r="G72" t="str">
        <f t="shared" si="176"/>
        <v>专升本</v>
      </c>
      <c r="H72" t="str">
        <f t="shared" si="192"/>
        <v>行政管理</v>
      </c>
      <c r="I72" t="str">
        <f t="shared" si="148"/>
        <v>函授</v>
      </c>
      <c r="J72" t="str">
        <f t="shared" si="193"/>
        <v>董国平</v>
      </c>
      <c r="K72" t="s">
        <v>44</v>
      </c>
      <c r="L72" t="s">
        <v>144</v>
      </c>
      <c r="M72" t="s">
        <v>145</v>
      </c>
      <c r="Q72" t="str">
        <f t="shared" si="163"/>
        <v>未选择</v>
      </c>
      <c r="U72" t="str">
        <f t="shared" ref="U72:W72" si="196">"-"</f>
        <v>-</v>
      </c>
      <c r="V72" t="str">
        <f t="shared" si="196"/>
        <v>-</v>
      </c>
      <c r="W72" t="str">
        <f t="shared" si="196"/>
        <v>-</v>
      </c>
      <c r="X72" t="str">
        <f t="shared" si="178"/>
        <v>未填写</v>
      </c>
      <c r="Y72" t="str">
        <f t="shared" ref="Y72:AA72" si="197">"未上传"</f>
        <v>未上传</v>
      </c>
      <c r="Z72" t="str">
        <f t="shared" si="197"/>
        <v>未上传</v>
      </c>
      <c r="AA72" t="str">
        <f t="shared" si="197"/>
        <v>未上传</v>
      </c>
      <c r="AB72" t="str">
        <f t="shared" si="106"/>
        <v>非书面答辩</v>
      </c>
      <c r="AC72" t="str">
        <f t="shared" si="180"/>
        <v>学生未填写</v>
      </c>
      <c r="AD72" t="str">
        <f t="shared" si="181"/>
        <v>未填写</v>
      </c>
      <c r="AE72" t="str">
        <f t="shared" si="182"/>
        <v>未签名</v>
      </c>
    </row>
    <row r="73" hidden="1" spans="1:31">
      <c r="A73" t="str">
        <f>"黎锡豪"</f>
        <v>黎锡豪</v>
      </c>
      <c r="B73" t="str">
        <f>"2217112118013"</f>
        <v>2217112118013</v>
      </c>
      <c r="C73" t="s">
        <v>147</v>
      </c>
      <c r="D73" t="str">
        <f t="shared" si="191"/>
        <v>行管22165</v>
      </c>
      <c r="E73" t="str">
        <f t="shared" si="94"/>
        <v>2022</v>
      </c>
      <c r="F73" t="str">
        <f t="shared" si="175"/>
        <v>东莞电研院</v>
      </c>
      <c r="G73" t="str">
        <f t="shared" si="176"/>
        <v>专升本</v>
      </c>
      <c r="H73" t="str">
        <f t="shared" si="192"/>
        <v>行政管理</v>
      </c>
      <c r="I73" t="str">
        <f t="shared" si="148"/>
        <v>函授</v>
      </c>
      <c r="J73" t="str">
        <f t="shared" si="193"/>
        <v>董国平</v>
      </c>
      <c r="K73" t="s">
        <v>44</v>
      </c>
      <c r="L73" t="s">
        <v>144</v>
      </c>
      <c r="M73" t="s">
        <v>145</v>
      </c>
      <c r="Q73" t="str">
        <f t="shared" si="163"/>
        <v>未选择</v>
      </c>
      <c r="U73" t="str">
        <f t="shared" ref="U73:W73" si="198">"-"</f>
        <v>-</v>
      </c>
      <c r="V73" t="str">
        <f t="shared" si="198"/>
        <v>-</v>
      </c>
      <c r="W73" t="str">
        <f t="shared" si="198"/>
        <v>-</v>
      </c>
      <c r="X73" t="str">
        <f t="shared" si="178"/>
        <v>未填写</v>
      </c>
      <c r="Y73" t="str">
        <f t="shared" ref="Y73:AA73" si="199">"未上传"</f>
        <v>未上传</v>
      </c>
      <c r="Z73" t="str">
        <f t="shared" si="199"/>
        <v>未上传</v>
      </c>
      <c r="AA73" t="str">
        <f t="shared" si="199"/>
        <v>未上传</v>
      </c>
      <c r="AB73" t="str">
        <f t="shared" si="106"/>
        <v>非书面答辩</v>
      </c>
      <c r="AC73" t="str">
        <f t="shared" si="180"/>
        <v>学生未填写</v>
      </c>
      <c r="AD73" t="str">
        <f t="shared" si="181"/>
        <v>未填写</v>
      </c>
      <c r="AE73" t="str">
        <f t="shared" si="182"/>
        <v>未签名</v>
      </c>
    </row>
    <row r="74" hidden="1" spans="1:31">
      <c r="A74" t="str">
        <f>"林家杰"</f>
        <v>林家杰</v>
      </c>
      <c r="B74" t="str">
        <f>"2217112118015"</f>
        <v>2217112118015</v>
      </c>
      <c r="C74" t="s">
        <v>148</v>
      </c>
      <c r="D74" t="str">
        <f t="shared" si="191"/>
        <v>行管22165</v>
      </c>
      <c r="E74" t="str">
        <f t="shared" si="94"/>
        <v>2022</v>
      </c>
      <c r="F74" t="str">
        <f t="shared" si="175"/>
        <v>东莞电研院</v>
      </c>
      <c r="G74" t="str">
        <f t="shared" si="176"/>
        <v>专升本</v>
      </c>
      <c r="H74" t="str">
        <f t="shared" si="192"/>
        <v>行政管理</v>
      </c>
      <c r="I74" t="str">
        <f t="shared" si="148"/>
        <v>函授</v>
      </c>
      <c r="J74" t="str">
        <f t="shared" si="193"/>
        <v>董国平</v>
      </c>
      <c r="K74" t="s">
        <v>44</v>
      </c>
      <c r="L74" t="s">
        <v>144</v>
      </c>
      <c r="M74" t="s">
        <v>145</v>
      </c>
      <c r="Q74" t="str">
        <f t="shared" si="163"/>
        <v>未选择</v>
      </c>
      <c r="U74" t="str">
        <f t="shared" ref="U74:W74" si="200">"-"</f>
        <v>-</v>
      </c>
      <c r="V74" t="str">
        <f t="shared" si="200"/>
        <v>-</v>
      </c>
      <c r="W74" t="str">
        <f t="shared" si="200"/>
        <v>-</v>
      </c>
      <c r="X74" t="str">
        <f t="shared" si="178"/>
        <v>未填写</v>
      </c>
      <c r="Y74" t="str">
        <f t="shared" ref="Y74:AA74" si="201">"未上传"</f>
        <v>未上传</v>
      </c>
      <c r="Z74" t="str">
        <f t="shared" si="201"/>
        <v>未上传</v>
      </c>
      <c r="AA74" t="str">
        <f t="shared" si="201"/>
        <v>未上传</v>
      </c>
      <c r="AB74" t="str">
        <f t="shared" si="106"/>
        <v>非书面答辩</v>
      </c>
      <c r="AC74" t="str">
        <f t="shared" si="180"/>
        <v>学生未填写</v>
      </c>
      <c r="AD74" t="str">
        <f t="shared" si="181"/>
        <v>未填写</v>
      </c>
      <c r="AE74" t="str">
        <f t="shared" si="182"/>
        <v>未签名</v>
      </c>
    </row>
    <row r="75" hidden="1" spans="1:31">
      <c r="A75" t="str">
        <f>"莫小庭"</f>
        <v>莫小庭</v>
      </c>
      <c r="B75" t="str">
        <f>"2217112118019"</f>
        <v>2217112118019</v>
      </c>
      <c r="C75" t="s">
        <v>149</v>
      </c>
      <c r="D75" t="str">
        <f t="shared" si="191"/>
        <v>行管22165</v>
      </c>
      <c r="E75" t="str">
        <f t="shared" si="94"/>
        <v>2022</v>
      </c>
      <c r="F75" t="str">
        <f t="shared" si="175"/>
        <v>东莞电研院</v>
      </c>
      <c r="G75" t="str">
        <f t="shared" si="176"/>
        <v>专升本</v>
      </c>
      <c r="H75" t="str">
        <f t="shared" si="192"/>
        <v>行政管理</v>
      </c>
      <c r="I75" t="str">
        <f t="shared" si="148"/>
        <v>函授</v>
      </c>
      <c r="J75" t="str">
        <f t="shared" si="193"/>
        <v>董国平</v>
      </c>
      <c r="K75" t="s">
        <v>44</v>
      </c>
      <c r="L75" t="s">
        <v>144</v>
      </c>
      <c r="M75" t="s">
        <v>145</v>
      </c>
      <c r="N75" t="str">
        <f>"大数据时代行政管理信息化建设研究"</f>
        <v>大数据时代行政管理信息化建设研究</v>
      </c>
      <c r="O75" t="str">
        <f>"信息化建设研究"</f>
        <v>信息化建设研究</v>
      </c>
      <c r="P75" t="str">
        <f>"大数据;行政管理;信息化建设"</f>
        <v>大数据;行政管理;信息化建设</v>
      </c>
      <c r="Q75" t="str">
        <f>"书面答辩"</f>
        <v>书面答辩</v>
      </c>
      <c r="R75" t="str">
        <f>"毕业论文"</f>
        <v>毕业论文</v>
      </c>
      <c r="S75" t="str">
        <f>"中文"</f>
        <v>中文</v>
      </c>
      <c r="T75" t="str">
        <f>"非立项"</f>
        <v>非立项</v>
      </c>
      <c r="U75" t="str">
        <f>"未审核"</f>
        <v>未审核</v>
      </c>
      <c r="X75" t="str">
        <f t="shared" si="178"/>
        <v>未填写</v>
      </c>
      <c r="Y75" t="str">
        <f t="shared" ref="Y75:AA75" si="202">"未上传"</f>
        <v>未上传</v>
      </c>
      <c r="Z75" t="str">
        <f t="shared" si="202"/>
        <v>未上传</v>
      </c>
      <c r="AA75" t="str">
        <f t="shared" si="202"/>
        <v>未上传</v>
      </c>
      <c r="AB75" t="str">
        <f>"未发布问题"</f>
        <v>未发布问题</v>
      </c>
      <c r="AC75" t="str">
        <f t="shared" si="180"/>
        <v>学生未填写</v>
      </c>
      <c r="AD75" t="str">
        <f t="shared" si="181"/>
        <v>未填写</v>
      </c>
      <c r="AE75" t="str">
        <f t="shared" si="182"/>
        <v>未签名</v>
      </c>
    </row>
    <row r="76" hidden="1" spans="1:31">
      <c r="A76" t="str">
        <f>"彭群芳"</f>
        <v>彭群芳</v>
      </c>
      <c r="B76" t="str">
        <f>"2217112118020"</f>
        <v>2217112118020</v>
      </c>
      <c r="C76" t="s">
        <v>150</v>
      </c>
      <c r="D76" t="str">
        <f t="shared" si="191"/>
        <v>行管22165</v>
      </c>
      <c r="E76" t="str">
        <f t="shared" si="94"/>
        <v>2022</v>
      </c>
      <c r="F76" t="str">
        <f t="shared" si="175"/>
        <v>东莞电研院</v>
      </c>
      <c r="G76" t="str">
        <f t="shared" si="176"/>
        <v>专升本</v>
      </c>
      <c r="H76" t="str">
        <f t="shared" si="192"/>
        <v>行政管理</v>
      </c>
      <c r="I76" t="str">
        <f t="shared" si="148"/>
        <v>函授</v>
      </c>
      <c r="J76" t="str">
        <f t="shared" ref="J76:J81" si="203">"刘晓丽"</f>
        <v>刘晓丽</v>
      </c>
      <c r="K76" t="s">
        <v>44</v>
      </c>
      <c r="L76" t="s">
        <v>151</v>
      </c>
      <c r="M76" t="s">
        <v>152</v>
      </c>
      <c r="Q76" t="str">
        <f t="shared" ref="Q76:Q85" si="204">"未选择"</f>
        <v>未选择</v>
      </c>
      <c r="U76" t="str">
        <f t="shared" ref="U76:W76" si="205">"-"</f>
        <v>-</v>
      </c>
      <c r="V76" t="str">
        <f t="shared" si="205"/>
        <v>-</v>
      </c>
      <c r="W76" t="str">
        <f t="shared" si="205"/>
        <v>-</v>
      </c>
      <c r="X76" t="str">
        <f t="shared" si="178"/>
        <v>未填写</v>
      </c>
      <c r="Y76" t="str">
        <f t="shared" ref="Y76:AA76" si="206">"未上传"</f>
        <v>未上传</v>
      </c>
      <c r="Z76" t="str">
        <f t="shared" si="206"/>
        <v>未上传</v>
      </c>
      <c r="AA76" t="str">
        <f t="shared" si="206"/>
        <v>未上传</v>
      </c>
      <c r="AB76" t="str">
        <f t="shared" ref="AB76:AB140" si="207">"非书面答辩"</f>
        <v>非书面答辩</v>
      </c>
      <c r="AC76" t="str">
        <f t="shared" si="180"/>
        <v>学生未填写</v>
      </c>
      <c r="AD76" t="str">
        <f t="shared" si="181"/>
        <v>未填写</v>
      </c>
      <c r="AE76" t="str">
        <f t="shared" si="182"/>
        <v>未签名</v>
      </c>
    </row>
    <row r="77" hidden="1" spans="1:31">
      <c r="A77" t="str">
        <f>"汤镇华"</f>
        <v>汤镇华</v>
      </c>
      <c r="B77" t="str">
        <f>"2217112118023"</f>
        <v>2217112118023</v>
      </c>
      <c r="C77" t="s">
        <v>153</v>
      </c>
      <c r="D77" t="str">
        <f t="shared" si="191"/>
        <v>行管22165</v>
      </c>
      <c r="E77" t="str">
        <f t="shared" si="94"/>
        <v>2022</v>
      </c>
      <c r="F77" t="str">
        <f t="shared" si="175"/>
        <v>东莞电研院</v>
      </c>
      <c r="G77" t="str">
        <f t="shared" si="176"/>
        <v>专升本</v>
      </c>
      <c r="H77" t="str">
        <f t="shared" si="192"/>
        <v>行政管理</v>
      </c>
      <c r="I77" t="str">
        <f t="shared" si="148"/>
        <v>函授</v>
      </c>
      <c r="J77" t="str">
        <f t="shared" si="203"/>
        <v>刘晓丽</v>
      </c>
      <c r="K77" t="s">
        <v>44</v>
      </c>
      <c r="L77" t="s">
        <v>151</v>
      </c>
      <c r="M77" t="s">
        <v>152</v>
      </c>
      <c r="N77" t="str">
        <f>"公共事业单位产生与发展的原因分析"</f>
        <v>公共事业单位产生与发展的原因分析</v>
      </c>
      <c r="O77" t="str">
        <f>"政府管理;公共政策"</f>
        <v>政府管理;公共政策</v>
      </c>
      <c r="P77" t="str">
        <f>"公共事业;单位;发展"</f>
        <v>公共事业;单位;发展</v>
      </c>
      <c r="Q77" t="str">
        <f>"书面答辩"</f>
        <v>书面答辩</v>
      </c>
      <c r="R77" t="str">
        <f>"毕业论文"</f>
        <v>毕业论文</v>
      </c>
      <c r="S77" t="str">
        <f>"中文"</f>
        <v>中文</v>
      </c>
      <c r="T77" t="str">
        <f>"学校自选项目"</f>
        <v>学校自选项目</v>
      </c>
      <c r="U77" t="str">
        <f>"未审核"</f>
        <v>未审核</v>
      </c>
      <c r="X77" t="str">
        <f t="shared" si="178"/>
        <v>未填写</v>
      </c>
      <c r="Y77" t="str">
        <f t="shared" ref="Y77:AA77" si="208">"未上传"</f>
        <v>未上传</v>
      </c>
      <c r="Z77" t="str">
        <f t="shared" si="208"/>
        <v>未上传</v>
      </c>
      <c r="AA77" t="str">
        <f t="shared" si="208"/>
        <v>未上传</v>
      </c>
      <c r="AB77" t="str">
        <f>"未发布问题"</f>
        <v>未发布问题</v>
      </c>
      <c r="AC77" t="str">
        <f t="shared" si="180"/>
        <v>学生未填写</v>
      </c>
      <c r="AD77" t="str">
        <f t="shared" si="181"/>
        <v>未填写</v>
      </c>
      <c r="AE77" t="str">
        <f t="shared" si="182"/>
        <v>未签名</v>
      </c>
    </row>
    <row r="78" hidden="1" spans="1:31">
      <c r="A78" t="str">
        <f>"萧昊铨"</f>
        <v>萧昊铨</v>
      </c>
      <c r="B78" t="str">
        <f>"2217112118028"</f>
        <v>2217112118028</v>
      </c>
      <c r="C78" t="s">
        <v>154</v>
      </c>
      <c r="D78" t="str">
        <f t="shared" si="191"/>
        <v>行管22165</v>
      </c>
      <c r="E78" t="str">
        <f t="shared" si="94"/>
        <v>2022</v>
      </c>
      <c r="F78" t="str">
        <f t="shared" si="175"/>
        <v>东莞电研院</v>
      </c>
      <c r="G78" t="str">
        <f t="shared" si="176"/>
        <v>专升本</v>
      </c>
      <c r="H78" t="str">
        <f t="shared" si="192"/>
        <v>行政管理</v>
      </c>
      <c r="I78" t="str">
        <f t="shared" si="148"/>
        <v>函授</v>
      </c>
      <c r="J78" t="str">
        <f>"朱小云"</f>
        <v>朱小云</v>
      </c>
      <c r="K78" t="s">
        <v>44</v>
      </c>
      <c r="L78" t="s">
        <v>155</v>
      </c>
      <c r="M78" t="s">
        <v>156</v>
      </c>
      <c r="Q78" t="str">
        <f t="shared" si="204"/>
        <v>未选择</v>
      </c>
      <c r="U78" t="str">
        <f t="shared" ref="U78:W78" si="209">"-"</f>
        <v>-</v>
      </c>
      <c r="V78" t="str">
        <f t="shared" si="209"/>
        <v>-</v>
      </c>
      <c r="W78" t="str">
        <f t="shared" si="209"/>
        <v>-</v>
      </c>
      <c r="X78" t="str">
        <f t="shared" si="178"/>
        <v>未填写</v>
      </c>
      <c r="Y78" t="str">
        <f t="shared" ref="Y78:AA78" si="210">"未上传"</f>
        <v>未上传</v>
      </c>
      <c r="Z78" t="str">
        <f t="shared" si="210"/>
        <v>未上传</v>
      </c>
      <c r="AA78" t="str">
        <f t="shared" si="210"/>
        <v>未上传</v>
      </c>
      <c r="AB78" t="str">
        <f t="shared" si="207"/>
        <v>非书面答辩</v>
      </c>
      <c r="AC78" t="str">
        <f t="shared" si="180"/>
        <v>学生未填写</v>
      </c>
      <c r="AD78" t="str">
        <f t="shared" si="181"/>
        <v>未填写</v>
      </c>
      <c r="AE78" t="str">
        <f t="shared" si="182"/>
        <v>未签名</v>
      </c>
    </row>
    <row r="79" hidden="1" spans="1:31">
      <c r="A79" t="str">
        <f>"许慧怡"</f>
        <v>许慧怡</v>
      </c>
      <c r="B79" t="str">
        <f>"2217112118030"</f>
        <v>2217112118030</v>
      </c>
      <c r="C79" t="s">
        <v>157</v>
      </c>
      <c r="D79" t="str">
        <f t="shared" si="191"/>
        <v>行管22165</v>
      </c>
      <c r="E79" t="str">
        <f t="shared" si="94"/>
        <v>2022</v>
      </c>
      <c r="F79" t="str">
        <f t="shared" si="175"/>
        <v>东莞电研院</v>
      </c>
      <c r="G79" t="str">
        <f t="shared" si="176"/>
        <v>专升本</v>
      </c>
      <c r="H79" t="str">
        <f t="shared" si="192"/>
        <v>行政管理</v>
      </c>
      <c r="I79" t="str">
        <f t="shared" si="148"/>
        <v>函授</v>
      </c>
      <c r="J79" t="str">
        <f t="shared" si="203"/>
        <v>刘晓丽</v>
      </c>
      <c r="K79" t="s">
        <v>44</v>
      </c>
      <c r="L79" t="s">
        <v>151</v>
      </c>
      <c r="M79" t="s">
        <v>152</v>
      </c>
      <c r="Q79" t="str">
        <f t="shared" si="204"/>
        <v>未选择</v>
      </c>
      <c r="U79" t="str">
        <f t="shared" ref="U79:W79" si="211">"-"</f>
        <v>-</v>
      </c>
      <c r="V79" t="str">
        <f t="shared" si="211"/>
        <v>-</v>
      </c>
      <c r="W79" t="str">
        <f t="shared" si="211"/>
        <v>-</v>
      </c>
      <c r="X79" t="str">
        <f t="shared" si="178"/>
        <v>未填写</v>
      </c>
      <c r="Y79" t="str">
        <f t="shared" ref="Y79:AA79" si="212">"未上传"</f>
        <v>未上传</v>
      </c>
      <c r="Z79" t="str">
        <f t="shared" si="212"/>
        <v>未上传</v>
      </c>
      <c r="AA79" t="str">
        <f t="shared" si="212"/>
        <v>未上传</v>
      </c>
      <c r="AB79" t="str">
        <f t="shared" si="207"/>
        <v>非书面答辩</v>
      </c>
      <c r="AC79" t="str">
        <f t="shared" si="180"/>
        <v>学生未填写</v>
      </c>
      <c r="AD79" t="str">
        <f t="shared" si="181"/>
        <v>未填写</v>
      </c>
      <c r="AE79" t="str">
        <f t="shared" si="182"/>
        <v>未签名</v>
      </c>
    </row>
    <row r="80" hidden="1" spans="1:31">
      <c r="A80" t="str">
        <f>"余秀兰"</f>
        <v>余秀兰</v>
      </c>
      <c r="B80" t="str">
        <f>"2217112118036"</f>
        <v>2217112118036</v>
      </c>
      <c r="C80" t="s">
        <v>158</v>
      </c>
      <c r="D80" t="str">
        <f t="shared" si="191"/>
        <v>行管22165</v>
      </c>
      <c r="E80" t="str">
        <f t="shared" si="94"/>
        <v>2022</v>
      </c>
      <c r="F80" t="str">
        <f t="shared" si="175"/>
        <v>东莞电研院</v>
      </c>
      <c r="G80" t="str">
        <f t="shared" si="176"/>
        <v>专升本</v>
      </c>
      <c r="H80" t="str">
        <f t="shared" si="192"/>
        <v>行政管理</v>
      </c>
      <c r="I80" t="str">
        <f t="shared" si="148"/>
        <v>函授</v>
      </c>
      <c r="J80" t="str">
        <f t="shared" si="203"/>
        <v>刘晓丽</v>
      </c>
      <c r="K80" t="s">
        <v>44</v>
      </c>
      <c r="L80" t="s">
        <v>151</v>
      </c>
      <c r="M80" t="s">
        <v>152</v>
      </c>
      <c r="Q80" t="str">
        <f t="shared" si="204"/>
        <v>未选择</v>
      </c>
      <c r="U80" t="str">
        <f t="shared" ref="U80:W80" si="213">"-"</f>
        <v>-</v>
      </c>
      <c r="V80" t="str">
        <f t="shared" si="213"/>
        <v>-</v>
      </c>
      <c r="W80" t="str">
        <f t="shared" si="213"/>
        <v>-</v>
      </c>
      <c r="X80" t="str">
        <f t="shared" si="178"/>
        <v>未填写</v>
      </c>
      <c r="Y80" t="str">
        <f t="shared" ref="Y80:AA80" si="214">"未上传"</f>
        <v>未上传</v>
      </c>
      <c r="Z80" t="str">
        <f t="shared" si="214"/>
        <v>未上传</v>
      </c>
      <c r="AA80" t="str">
        <f t="shared" si="214"/>
        <v>未上传</v>
      </c>
      <c r="AB80" t="str">
        <f t="shared" si="207"/>
        <v>非书面答辩</v>
      </c>
      <c r="AC80" t="str">
        <f t="shared" si="180"/>
        <v>学生未填写</v>
      </c>
      <c r="AD80" t="str">
        <f t="shared" si="181"/>
        <v>未填写</v>
      </c>
      <c r="AE80" t="str">
        <f t="shared" si="182"/>
        <v>未签名</v>
      </c>
    </row>
    <row r="81" hidden="1" spans="1:31">
      <c r="A81" t="str">
        <f>"邹家愍"</f>
        <v>邹家愍</v>
      </c>
      <c r="B81" t="str">
        <f>"2217112118039"</f>
        <v>2217112118039</v>
      </c>
      <c r="C81" t="s">
        <v>159</v>
      </c>
      <c r="D81" t="str">
        <f t="shared" si="191"/>
        <v>行管22165</v>
      </c>
      <c r="E81" t="str">
        <f t="shared" si="94"/>
        <v>2022</v>
      </c>
      <c r="F81" t="str">
        <f t="shared" si="175"/>
        <v>东莞电研院</v>
      </c>
      <c r="G81" t="str">
        <f t="shared" si="176"/>
        <v>专升本</v>
      </c>
      <c r="H81" t="str">
        <f t="shared" si="192"/>
        <v>行政管理</v>
      </c>
      <c r="I81" t="str">
        <f t="shared" si="148"/>
        <v>函授</v>
      </c>
      <c r="J81" t="str">
        <f t="shared" si="203"/>
        <v>刘晓丽</v>
      </c>
      <c r="K81" t="s">
        <v>44</v>
      </c>
      <c r="L81" t="s">
        <v>151</v>
      </c>
      <c r="M81" t="s">
        <v>152</v>
      </c>
      <c r="Q81" t="str">
        <f t="shared" si="204"/>
        <v>未选择</v>
      </c>
      <c r="U81" t="str">
        <f t="shared" ref="U81:W81" si="215">"-"</f>
        <v>-</v>
      </c>
      <c r="V81" t="str">
        <f t="shared" si="215"/>
        <v>-</v>
      </c>
      <c r="W81" t="str">
        <f t="shared" si="215"/>
        <v>-</v>
      </c>
      <c r="X81" t="str">
        <f t="shared" si="178"/>
        <v>未填写</v>
      </c>
      <c r="Y81" t="str">
        <f t="shared" ref="Y81:AA81" si="216">"未上传"</f>
        <v>未上传</v>
      </c>
      <c r="Z81" t="str">
        <f t="shared" si="216"/>
        <v>未上传</v>
      </c>
      <c r="AA81" t="str">
        <f t="shared" si="216"/>
        <v>未上传</v>
      </c>
      <c r="AB81" t="str">
        <f t="shared" si="207"/>
        <v>非书面答辩</v>
      </c>
      <c r="AC81" t="str">
        <f t="shared" si="180"/>
        <v>学生未填写</v>
      </c>
      <c r="AD81" t="str">
        <f t="shared" si="181"/>
        <v>未填写</v>
      </c>
      <c r="AE81" t="str">
        <f t="shared" si="182"/>
        <v>未签名</v>
      </c>
    </row>
    <row r="82" spans="1:31">
      <c r="A82" t="str">
        <f>"贺磊"</f>
        <v>贺磊</v>
      </c>
      <c r="B82" t="str">
        <f>"2217112119006"</f>
        <v>2217112119006</v>
      </c>
      <c r="C82" t="s">
        <v>160</v>
      </c>
      <c r="D82" t="str">
        <f t="shared" ref="D82:D87" si="217">"计机科技22215"</f>
        <v>计机科技22215</v>
      </c>
      <c r="E82" t="str">
        <f t="shared" si="94"/>
        <v>2022</v>
      </c>
      <c r="F82" t="str">
        <f t="shared" si="175"/>
        <v>东莞电研院</v>
      </c>
      <c r="G82" t="str">
        <f t="shared" si="176"/>
        <v>专升本</v>
      </c>
      <c r="H82" t="str">
        <f t="shared" ref="H82:H87" si="218">"计算机科学与技术"</f>
        <v>计算机科学与技术</v>
      </c>
      <c r="I82" t="str">
        <f t="shared" si="148"/>
        <v>函授</v>
      </c>
      <c r="J82" t="str">
        <f t="shared" ref="J82:J85" si="219">"王求精"</f>
        <v>王求精</v>
      </c>
      <c r="K82" t="s">
        <v>32</v>
      </c>
      <c r="L82">
        <v>15818283086</v>
      </c>
      <c r="M82" s="1" t="s">
        <v>42</v>
      </c>
      <c r="Q82" t="str">
        <f t="shared" si="204"/>
        <v>未选择</v>
      </c>
      <c r="U82" t="str">
        <f t="shared" ref="U82:W82" si="220">"-"</f>
        <v>-</v>
      </c>
      <c r="V82" t="str">
        <f t="shared" si="220"/>
        <v>-</v>
      </c>
      <c r="W82" t="str">
        <f t="shared" si="220"/>
        <v>-</v>
      </c>
      <c r="X82" t="str">
        <f t="shared" si="178"/>
        <v>未填写</v>
      </c>
      <c r="Y82" t="str">
        <f t="shared" ref="Y82:AA82" si="221">"未上传"</f>
        <v>未上传</v>
      </c>
      <c r="Z82" t="str">
        <f t="shared" si="221"/>
        <v>未上传</v>
      </c>
      <c r="AA82" t="str">
        <f t="shared" si="221"/>
        <v>未上传</v>
      </c>
      <c r="AB82" t="str">
        <f t="shared" si="207"/>
        <v>非书面答辩</v>
      </c>
      <c r="AC82" t="str">
        <f t="shared" si="180"/>
        <v>学生未填写</v>
      </c>
      <c r="AD82" t="str">
        <f t="shared" si="181"/>
        <v>未填写</v>
      </c>
      <c r="AE82" t="str">
        <f t="shared" si="182"/>
        <v>未签名</v>
      </c>
    </row>
    <row r="83" spans="1:31">
      <c r="A83" t="str">
        <f>"黄秀雪"</f>
        <v>黄秀雪</v>
      </c>
      <c r="B83" t="str">
        <f>"2217112119008"</f>
        <v>2217112119008</v>
      </c>
      <c r="C83" t="s">
        <v>161</v>
      </c>
      <c r="D83" t="str">
        <f t="shared" si="217"/>
        <v>计机科技22215</v>
      </c>
      <c r="E83" t="str">
        <f t="shared" si="94"/>
        <v>2022</v>
      </c>
      <c r="F83" t="str">
        <f t="shared" si="175"/>
        <v>东莞电研院</v>
      </c>
      <c r="G83" t="str">
        <f t="shared" si="176"/>
        <v>专升本</v>
      </c>
      <c r="H83" t="str">
        <f t="shared" si="218"/>
        <v>计算机科学与技术</v>
      </c>
      <c r="I83" t="str">
        <f t="shared" si="148"/>
        <v>函授</v>
      </c>
      <c r="J83" t="str">
        <f t="shared" si="219"/>
        <v>王求精</v>
      </c>
      <c r="K83" t="s">
        <v>32</v>
      </c>
      <c r="L83">
        <v>15818283086</v>
      </c>
      <c r="M83" s="1" t="s">
        <v>42</v>
      </c>
      <c r="Q83" t="str">
        <f t="shared" si="204"/>
        <v>未选择</v>
      </c>
      <c r="U83" t="str">
        <f t="shared" ref="U83:W83" si="222">"-"</f>
        <v>-</v>
      </c>
      <c r="V83" t="str">
        <f t="shared" si="222"/>
        <v>-</v>
      </c>
      <c r="W83" t="str">
        <f t="shared" si="222"/>
        <v>-</v>
      </c>
      <c r="X83" t="str">
        <f t="shared" si="178"/>
        <v>未填写</v>
      </c>
      <c r="Y83" t="str">
        <f t="shared" ref="Y83:AA83" si="223">"未上传"</f>
        <v>未上传</v>
      </c>
      <c r="Z83" t="str">
        <f t="shared" si="223"/>
        <v>未上传</v>
      </c>
      <c r="AA83" t="str">
        <f t="shared" si="223"/>
        <v>未上传</v>
      </c>
      <c r="AB83" t="str">
        <f t="shared" si="207"/>
        <v>非书面答辩</v>
      </c>
      <c r="AC83" t="str">
        <f t="shared" si="180"/>
        <v>学生未填写</v>
      </c>
      <c r="AD83" t="str">
        <f t="shared" si="181"/>
        <v>未填写</v>
      </c>
      <c r="AE83" t="str">
        <f t="shared" si="182"/>
        <v>未签名</v>
      </c>
    </row>
    <row r="84" spans="1:31">
      <c r="A84" t="str">
        <f>"赖雨情"</f>
        <v>赖雨情</v>
      </c>
      <c r="B84" t="str">
        <f>"2217112119011"</f>
        <v>2217112119011</v>
      </c>
      <c r="C84" t="s">
        <v>162</v>
      </c>
      <c r="D84" t="str">
        <f t="shared" si="217"/>
        <v>计机科技22215</v>
      </c>
      <c r="E84" t="str">
        <f t="shared" si="94"/>
        <v>2022</v>
      </c>
      <c r="F84" t="str">
        <f t="shared" si="175"/>
        <v>东莞电研院</v>
      </c>
      <c r="G84" t="str">
        <f t="shared" si="176"/>
        <v>专升本</v>
      </c>
      <c r="H84" t="str">
        <f t="shared" si="218"/>
        <v>计算机科学与技术</v>
      </c>
      <c r="I84" t="str">
        <f t="shared" si="148"/>
        <v>函授</v>
      </c>
      <c r="J84" t="str">
        <f t="shared" si="219"/>
        <v>王求精</v>
      </c>
      <c r="K84" t="s">
        <v>32</v>
      </c>
      <c r="L84">
        <v>15818283086</v>
      </c>
      <c r="M84" s="1" t="s">
        <v>42</v>
      </c>
      <c r="Q84" t="str">
        <f t="shared" si="204"/>
        <v>未选择</v>
      </c>
      <c r="U84" t="str">
        <f t="shared" ref="U84:W84" si="224">"-"</f>
        <v>-</v>
      </c>
      <c r="V84" t="str">
        <f t="shared" si="224"/>
        <v>-</v>
      </c>
      <c r="W84" t="str">
        <f t="shared" si="224"/>
        <v>-</v>
      </c>
      <c r="X84" t="str">
        <f t="shared" si="178"/>
        <v>未填写</v>
      </c>
      <c r="Y84" t="str">
        <f t="shared" ref="Y84:AA84" si="225">"未上传"</f>
        <v>未上传</v>
      </c>
      <c r="Z84" t="str">
        <f t="shared" si="225"/>
        <v>未上传</v>
      </c>
      <c r="AA84" t="str">
        <f t="shared" si="225"/>
        <v>未上传</v>
      </c>
      <c r="AB84" t="str">
        <f t="shared" si="207"/>
        <v>非书面答辩</v>
      </c>
      <c r="AC84" t="str">
        <f t="shared" si="180"/>
        <v>学生未填写</v>
      </c>
      <c r="AD84" t="str">
        <f t="shared" si="181"/>
        <v>未填写</v>
      </c>
      <c r="AE84" t="str">
        <f t="shared" si="182"/>
        <v>未签名</v>
      </c>
    </row>
    <row r="85" spans="1:31">
      <c r="A85" t="str">
        <f>"李雅诗"</f>
        <v>李雅诗</v>
      </c>
      <c r="B85" t="str">
        <f>"2217112119012"</f>
        <v>2217112119012</v>
      </c>
      <c r="C85" t="s">
        <v>163</v>
      </c>
      <c r="D85" t="str">
        <f t="shared" si="217"/>
        <v>计机科技22215</v>
      </c>
      <c r="E85" t="str">
        <f t="shared" si="94"/>
        <v>2022</v>
      </c>
      <c r="F85" t="str">
        <f t="shared" si="175"/>
        <v>东莞电研院</v>
      </c>
      <c r="G85" t="str">
        <f t="shared" si="176"/>
        <v>专升本</v>
      </c>
      <c r="H85" t="str">
        <f t="shared" si="218"/>
        <v>计算机科学与技术</v>
      </c>
      <c r="I85" t="str">
        <f t="shared" si="148"/>
        <v>函授</v>
      </c>
      <c r="J85" t="str">
        <f t="shared" si="219"/>
        <v>王求精</v>
      </c>
      <c r="K85" t="s">
        <v>32</v>
      </c>
      <c r="L85">
        <v>15818283086</v>
      </c>
      <c r="M85" s="1" t="s">
        <v>42</v>
      </c>
      <c r="Q85" t="str">
        <f t="shared" si="204"/>
        <v>未选择</v>
      </c>
      <c r="U85" t="str">
        <f t="shared" ref="U85:W85" si="226">"-"</f>
        <v>-</v>
      </c>
      <c r="V85" t="str">
        <f t="shared" si="226"/>
        <v>-</v>
      </c>
      <c r="W85" t="str">
        <f t="shared" si="226"/>
        <v>-</v>
      </c>
      <c r="X85" t="str">
        <f t="shared" si="178"/>
        <v>未填写</v>
      </c>
      <c r="Y85" t="str">
        <f t="shared" ref="Y85:AA85" si="227">"未上传"</f>
        <v>未上传</v>
      </c>
      <c r="Z85" t="str">
        <f t="shared" si="227"/>
        <v>未上传</v>
      </c>
      <c r="AA85" t="str">
        <f t="shared" si="227"/>
        <v>未上传</v>
      </c>
      <c r="AB85" t="str">
        <f t="shared" si="207"/>
        <v>非书面答辩</v>
      </c>
      <c r="AC85" t="str">
        <f t="shared" si="180"/>
        <v>学生未填写</v>
      </c>
      <c r="AD85" t="str">
        <f t="shared" si="181"/>
        <v>未填写</v>
      </c>
      <c r="AE85" t="str">
        <f t="shared" si="182"/>
        <v>未签名</v>
      </c>
    </row>
    <row r="86" spans="1:31">
      <c r="A86" t="str">
        <f>"郑树耿"</f>
        <v>郑树耿</v>
      </c>
      <c r="B86" t="str">
        <f>"2217112119021"</f>
        <v>2217112119021</v>
      </c>
      <c r="C86" t="s">
        <v>164</v>
      </c>
      <c r="D86" t="str">
        <f t="shared" si="217"/>
        <v>计机科技22215</v>
      </c>
      <c r="E86" t="str">
        <f t="shared" si="94"/>
        <v>2022</v>
      </c>
      <c r="F86" t="str">
        <f t="shared" si="175"/>
        <v>东莞电研院</v>
      </c>
      <c r="G86" t="str">
        <f t="shared" si="176"/>
        <v>专升本</v>
      </c>
      <c r="H86" t="str">
        <f t="shared" si="218"/>
        <v>计算机科学与技术</v>
      </c>
      <c r="I86" t="str">
        <f t="shared" si="148"/>
        <v>函授</v>
      </c>
      <c r="J86" t="str">
        <f>"黄鑫"</f>
        <v>黄鑫</v>
      </c>
      <c r="K86" t="s">
        <v>32</v>
      </c>
      <c r="L86" t="s">
        <v>165</v>
      </c>
      <c r="M86" t="s">
        <v>166</v>
      </c>
      <c r="N86" t="str">
        <f>"基于Spring Boot的校园二手交易平台的设计与实现"</f>
        <v>基于Spring Boot的校园二手交易平台的设计与实现</v>
      </c>
      <c r="O86" t="str">
        <f>"管理系统"</f>
        <v>管理系统</v>
      </c>
      <c r="P86" t="str">
        <f>"兼职;家教;新系统"</f>
        <v>兼职;家教;新系统</v>
      </c>
      <c r="Q86" t="str">
        <f>"现场答辩"</f>
        <v>现场答辩</v>
      </c>
      <c r="R86" t="str">
        <f>"毕业论文"</f>
        <v>毕业论文</v>
      </c>
      <c r="S86" t="str">
        <f>"中文"</f>
        <v>中文</v>
      </c>
      <c r="T86" t="str">
        <f>"非立项"</f>
        <v>非立项</v>
      </c>
      <c r="U86" t="str">
        <f>"未审核"</f>
        <v>未审核</v>
      </c>
      <c r="X86" t="str">
        <f t="shared" si="178"/>
        <v>未填写</v>
      </c>
      <c r="Y86" t="str">
        <f t="shared" ref="Y86:AA86" si="228">"未上传"</f>
        <v>未上传</v>
      </c>
      <c r="Z86" t="str">
        <f t="shared" si="228"/>
        <v>未上传</v>
      </c>
      <c r="AA86" t="str">
        <f t="shared" si="228"/>
        <v>未上传</v>
      </c>
      <c r="AB86" t="str">
        <f t="shared" si="207"/>
        <v>非书面答辩</v>
      </c>
      <c r="AC86" t="str">
        <f t="shared" si="180"/>
        <v>学生未填写</v>
      </c>
      <c r="AD86" t="str">
        <f t="shared" si="181"/>
        <v>未填写</v>
      </c>
      <c r="AE86" t="str">
        <f t="shared" si="182"/>
        <v>未签名</v>
      </c>
    </row>
    <row r="87" spans="1:31">
      <c r="A87" t="str">
        <f>"郑伟瀚"</f>
        <v>郑伟瀚</v>
      </c>
      <c r="B87" t="str">
        <f>"2217112119022"</f>
        <v>2217112119022</v>
      </c>
      <c r="C87" t="s">
        <v>167</v>
      </c>
      <c r="D87" t="str">
        <f t="shared" si="217"/>
        <v>计机科技22215</v>
      </c>
      <c r="E87" t="str">
        <f t="shared" si="94"/>
        <v>2022</v>
      </c>
      <c r="F87" t="str">
        <f t="shared" si="175"/>
        <v>东莞电研院</v>
      </c>
      <c r="G87" t="str">
        <f t="shared" si="176"/>
        <v>专升本</v>
      </c>
      <c r="H87" t="str">
        <f t="shared" si="218"/>
        <v>计算机科学与技术</v>
      </c>
      <c r="I87" t="str">
        <f t="shared" si="148"/>
        <v>函授</v>
      </c>
      <c r="J87" t="str">
        <f>"黄鑫"</f>
        <v>黄鑫</v>
      </c>
      <c r="K87" t="s">
        <v>32</v>
      </c>
      <c r="L87" t="s">
        <v>165</v>
      </c>
      <c r="M87" t="s">
        <v>166</v>
      </c>
      <c r="Q87" t="str">
        <f t="shared" ref="Q87:Q145" si="229">"未选择"</f>
        <v>未选择</v>
      </c>
      <c r="U87" t="str">
        <f t="shared" ref="U87:W87" si="230">"-"</f>
        <v>-</v>
      </c>
      <c r="V87" t="str">
        <f t="shared" si="230"/>
        <v>-</v>
      </c>
      <c r="W87" t="str">
        <f t="shared" si="230"/>
        <v>-</v>
      </c>
      <c r="X87" t="str">
        <f t="shared" si="178"/>
        <v>未填写</v>
      </c>
      <c r="Y87" t="str">
        <f t="shared" ref="Y87:AA87" si="231">"未上传"</f>
        <v>未上传</v>
      </c>
      <c r="Z87" t="str">
        <f t="shared" si="231"/>
        <v>未上传</v>
      </c>
      <c r="AA87" t="str">
        <f t="shared" si="231"/>
        <v>未上传</v>
      </c>
      <c r="AB87" t="str">
        <f t="shared" si="207"/>
        <v>非书面答辩</v>
      </c>
      <c r="AC87" t="str">
        <f t="shared" si="180"/>
        <v>学生未填写</v>
      </c>
      <c r="AD87" t="str">
        <f t="shared" si="181"/>
        <v>未填写</v>
      </c>
      <c r="AE87" t="str">
        <f t="shared" si="182"/>
        <v>未签名</v>
      </c>
    </row>
    <row r="88" spans="1:31">
      <c r="A88" t="str">
        <f>"劳华钊"</f>
        <v>劳华钊</v>
      </c>
      <c r="B88" t="str">
        <f>"2217112120003"</f>
        <v>2217112120003</v>
      </c>
      <c r="C88" t="s">
        <v>168</v>
      </c>
      <c r="D88" t="str">
        <f>"电气22022"</f>
        <v>电气22022</v>
      </c>
      <c r="E88" t="str">
        <f t="shared" si="94"/>
        <v>2022</v>
      </c>
      <c r="F88" t="str">
        <f t="shared" si="175"/>
        <v>东莞电研院</v>
      </c>
      <c r="G88" t="str">
        <f t="shared" si="176"/>
        <v>专升本</v>
      </c>
      <c r="H88" t="str">
        <f>"电气工程及其自动化"</f>
        <v>电气工程及其自动化</v>
      </c>
      <c r="I88" t="str">
        <f t="shared" si="148"/>
        <v>函授</v>
      </c>
      <c r="J88" t="str">
        <f>"曹厚华"</f>
        <v>曹厚华</v>
      </c>
      <c r="K88" t="s">
        <v>32</v>
      </c>
      <c r="L88" t="s">
        <v>78</v>
      </c>
      <c r="M88" t="s">
        <v>79</v>
      </c>
      <c r="Q88" t="str">
        <f t="shared" si="229"/>
        <v>未选择</v>
      </c>
      <c r="U88" t="str">
        <f t="shared" ref="U88:W88" si="232">"-"</f>
        <v>-</v>
      </c>
      <c r="V88" t="str">
        <f t="shared" si="232"/>
        <v>-</v>
      </c>
      <c r="W88" t="str">
        <f t="shared" si="232"/>
        <v>-</v>
      </c>
      <c r="X88" t="str">
        <f t="shared" si="178"/>
        <v>未填写</v>
      </c>
      <c r="Y88" t="str">
        <f t="shared" ref="Y88:AA88" si="233">"未上传"</f>
        <v>未上传</v>
      </c>
      <c r="Z88" t="str">
        <f t="shared" si="233"/>
        <v>未上传</v>
      </c>
      <c r="AA88" t="str">
        <f t="shared" si="233"/>
        <v>未上传</v>
      </c>
      <c r="AB88" t="str">
        <f t="shared" si="207"/>
        <v>非书面答辩</v>
      </c>
      <c r="AC88" t="str">
        <f t="shared" si="180"/>
        <v>学生未填写</v>
      </c>
      <c r="AD88" t="str">
        <f t="shared" si="181"/>
        <v>未填写</v>
      </c>
      <c r="AE88" t="str">
        <f t="shared" si="182"/>
        <v>未签名</v>
      </c>
    </row>
    <row r="89" spans="1:31">
      <c r="A89" t="str">
        <f>"刘光付"</f>
        <v>刘光付</v>
      </c>
      <c r="B89" t="str">
        <f>"2217112120008"</f>
        <v>2217112120008</v>
      </c>
      <c r="C89" t="s">
        <v>169</v>
      </c>
      <c r="D89" t="str">
        <f>"电气22022"</f>
        <v>电气22022</v>
      </c>
      <c r="E89" t="str">
        <f t="shared" si="94"/>
        <v>2022</v>
      </c>
      <c r="F89" t="str">
        <f t="shared" si="175"/>
        <v>东莞电研院</v>
      </c>
      <c r="G89" t="str">
        <f t="shared" si="176"/>
        <v>专升本</v>
      </c>
      <c r="H89" t="str">
        <f>"电气工程及其自动化"</f>
        <v>电气工程及其自动化</v>
      </c>
      <c r="I89" t="str">
        <f t="shared" si="148"/>
        <v>函授</v>
      </c>
      <c r="J89" t="str">
        <f>"曹厚华"</f>
        <v>曹厚华</v>
      </c>
      <c r="K89" t="s">
        <v>32</v>
      </c>
      <c r="L89" t="s">
        <v>78</v>
      </c>
      <c r="M89" t="s">
        <v>79</v>
      </c>
      <c r="Q89" t="str">
        <f t="shared" si="229"/>
        <v>未选择</v>
      </c>
      <c r="U89" t="str">
        <f t="shared" ref="U89:W89" si="234">"-"</f>
        <v>-</v>
      </c>
      <c r="V89" t="str">
        <f t="shared" si="234"/>
        <v>-</v>
      </c>
      <c r="W89" t="str">
        <f t="shared" si="234"/>
        <v>-</v>
      </c>
      <c r="X89" t="str">
        <f t="shared" si="178"/>
        <v>未填写</v>
      </c>
      <c r="Y89" t="str">
        <f t="shared" ref="Y89:AA89" si="235">"未上传"</f>
        <v>未上传</v>
      </c>
      <c r="Z89" t="str">
        <f t="shared" si="235"/>
        <v>未上传</v>
      </c>
      <c r="AA89" t="str">
        <f t="shared" si="235"/>
        <v>未上传</v>
      </c>
      <c r="AB89" t="str">
        <f t="shared" si="207"/>
        <v>非书面答辩</v>
      </c>
      <c r="AC89" t="str">
        <f t="shared" si="180"/>
        <v>学生未填写</v>
      </c>
      <c r="AD89" t="str">
        <f t="shared" si="181"/>
        <v>未填写</v>
      </c>
      <c r="AE89" t="str">
        <f t="shared" si="182"/>
        <v>未签名</v>
      </c>
    </row>
    <row r="90" spans="1:31">
      <c r="A90" t="str">
        <f>"蔡梓东"</f>
        <v>蔡梓东</v>
      </c>
      <c r="B90" t="str">
        <f>"2217112121001"</f>
        <v>2217112121001</v>
      </c>
      <c r="C90" t="s">
        <v>170</v>
      </c>
      <c r="D90" t="str">
        <f>"电商22056"</f>
        <v>电商22056</v>
      </c>
      <c r="E90" t="str">
        <f t="shared" si="94"/>
        <v>2022</v>
      </c>
      <c r="F90" t="str">
        <f t="shared" si="175"/>
        <v>东莞电研院</v>
      </c>
      <c r="G90" t="str">
        <f t="shared" si="176"/>
        <v>专升本</v>
      </c>
      <c r="H90" t="str">
        <f>"电子商务"</f>
        <v>电子商务</v>
      </c>
      <c r="I90" t="str">
        <f t="shared" si="148"/>
        <v>函授</v>
      </c>
      <c r="J90" t="str">
        <f>"郭新凯"</f>
        <v>郭新凯</v>
      </c>
      <c r="K90" t="s">
        <v>32</v>
      </c>
      <c r="L90" t="s">
        <v>128</v>
      </c>
      <c r="M90" t="s">
        <v>129</v>
      </c>
      <c r="Q90" t="str">
        <f t="shared" si="229"/>
        <v>未选择</v>
      </c>
      <c r="U90" t="str">
        <f t="shared" ref="U90:W90" si="236">"-"</f>
        <v>-</v>
      </c>
      <c r="V90" t="str">
        <f t="shared" si="236"/>
        <v>-</v>
      </c>
      <c r="W90" t="str">
        <f t="shared" si="236"/>
        <v>-</v>
      </c>
      <c r="X90" t="str">
        <f t="shared" si="178"/>
        <v>未填写</v>
      </c>
      <c r="Y90" t="str">
        <f t="shared" ref="Y90:AA90" si="237">"未上传"</f>
        <v>未上传</v>
      </c>
      <c r="Z90" t="str">
        <f t="shared" si="237"/>
        <v>未上传</v>
      </c>
      <c r="AA90" t="str">
        <f t="shared" si="237"/>
        <v>未上传</v>
      </c>
      <c r="AB90" t="str">
        <f t="shared" si="207"/>
        <v>非书面答辩</v>
      </c>
      <c r="AC90" t="str">
        <f t="shared" si="180"/>
        <v>学生未填写</v>
      </c>
      <c r="AD90" t="str">
        <f t="shared" si="181"/>
        <v>未填写</v>
      </c>
      <c r="AE90" t="str">
        <f t="shared" si="182"/>
        <v>未签名</v>
      </c>
    </row>
    <row r="91" spans="1:31">
      <c r="A91" t="str">
        <f>"何锦伦"</f>
        <v>何锦伦</v>
      </c>
      <c r="B91" t="str">
        <f>"2217112121003"</f>
        <v>2217112121003</v>
      </c>
      <c r="C91" t="s">
        <v>171</v>
      </c>
      <c r="D91" t="str">
        <f>"电商22056"</f>
        <v>电商22056</v>
      </c>
      <c r="E91" t="str">
        <f t="shared" si="94"/>
        <v>2022</v>
      </c>
      <c r="F91" t="str">
        <f t="shared" si="175"/>
        <v>东莞电研院</v>
      </c>
      <c r="G91" t="str">
        <f t="shared" si="176"/>
        <v>专升本</v>
      </c>
      <c r="H91" t="str">
        <f>"电子商务"</f>
        <v>电子商务</v>
      </c>
      <c r="I91" t="str">
        <f t="shared" si="148"/>
        <v>函授</v>
      </c>
      <c r="J91" t="str">
        <f>"黄子明"</f>
        <v>黄子明</v>
      </c>
      <c r="K91" t="s">
        <v>32</v>
      </c>
      <c r="L91" t="s">
        <v>135</v>
      </c>
      <c r="M91" t="s">
        <v>136</v>
      </c>
      <c r="Q91" t="str">
        <f t="shared" si="229"/>
        <v>未选择</v>
      </c>
      <c r="U91" t="str">
        <f t="shared" ref="U91:W91" si="238">"-"</f>
        <v>-</v>
      </c>
      <c r="V91" t="str">
        <f t="shared" si="238"/>
        <v>-</v>
      </c>
      <c r="W91" t="str">
        <f t="shared" si="238"/>
        <v>-</v>
      </c>
      <c r="X91" t="str">
        <f t="shared" si="178"/>
        <v>未填写</v>
      </c>
      <c r="Y91" t="str">
        <f t="shared" ref="Y91:AA91" si="239">"未上传"</f>
        <v>未上传</v>
      </c>
      <c r="Z91" t="str">
        <f t="shared" si="239"/>
        <v>未上传</v>
      </c>
      <c r="AA91" t="str">
        <f t="shared" si="239"/>
        <v>未上传</v>
      </c>
      <c r="AB91" t="str">
        <f t="shared" si="207"/>
        <v>非书面答辩</v>
      </c>
      <c r="AC91" t="str">
        <f t="shared" si="180"/>
        <v>学生未填写</v>
      </c>
      <c r="AD91" t="str">
        <f t="shared" si="181"/>
        <v>未填写</v>
      </c>
      <c r="AE91" t="str">
        <f t="shared" si="182"/>
        <v>未签名</v>
      </c>
    </row>
    <row r="92" spans="1:31">
      <c r="A92" t="str">
        <f>"刘乃成"</f>
        <v>刘乃成</v>
      </c>
      <c r="B92" t="str">
        <f>"2217112122003"</f>
        <v>2217112122003</v>
      </c>
      <c r="C92" t="s">
        <v>172</v>
      </c>
      <c r="D92" t="str">
        <f>"电工22072"</f>
        <v>电工22072</v>
      </c>
      <c r="E92" t="str">
        <f t="shared" si="94"/>
        <v>2022</v>
      </c>
      <c r="F92" t="str">
        <f t="shared" si="175"/>
        <v>东莞电研院</v>
      </c>
      <c r="G92" t="str">
        <f t="shared" si="176"/>
        <v>专升本</v>
      </c>
      <c r="H92" t="str">
        <f>"电子信息工程"</f>
        <v>电子信息工程</v>
      </c>
      <c r="I92" t="str">
        <f t="shared" si="148"/>
        <v>函授</v>
      </c>
      <c r="J92" t="str">
        <f t="shared" ref="J92:J95" si="240">"赵朗"</f>
        <v>赵朗</v>
      </c>
      <c r="K92" t="s">
        <v>32</v>
      </c>
      <c r="L92" t="s">
        <v>173</v>
      </c>
      <c r="M92" t="s">
        <v>174</v>
      </c>
      <c r="Q92" t="str">
        <f t="shared" si="229"/>
        <v>未选择</v>
      </c>
      <c r="U92" t="str">
        <f t="shared" ref="U92:W92" si="241">"-"</f>
        <v>-</v>
      </c>
      <c r="V92" t="str">
        <f t="shared" si="241"/>
        <v>-</v>
      </c>
      <c r="W92" t="str">
        <f t="shared" si="241"/>
        <v>-</v>
      </c>
      <c r="X92" t="str">
        <f t="shared" si="178"/>
        <v>未填写</v>
      </c>
      <c r="Y92" t="str">
        <f t="shared" ref="Y92:AA92" si="242">"未上传"</f>
        <v>未上传</v>
      </c>
      <c r="Z92" t="str">
        <f t="shared" si="242"/>
        <v>未上传</v>
      </c>
      <c r="AA92" t="str">
        <f t="shared" si="242"/>
        <v>未上传</v>
      </c>
      <c r="AB92" t="str">
        <f t="shared" si="207"/>
        <v>非书面答辩</v>
      </c>
      <c r="AC92" t="str">
        <f t="shared" si="180"/>
        <v>学生未填写</v>
      </c>
      <c r="AD92" t="str">
        <f t="shared" si="181"/>
        <v>未填写</v>
      </c>
      <c r="AE92" t="str">
        <f t="shared" si="182"/>
        <v>未签名</v>
      </c>
    </row>
    <row r="93" spans="1:31">
      <c r="A93" t="str">
        <f>"黄万立"</f>
        <v>黄万立</v>
      </c>
      <c r="B93" t="str">
        <f>"2217112123002"</f>
        <v>2217112123002</v>
      </c>
      <c r="C93" t="s">
        <v>175</v>
      </c>
      <c r="D93" t="str">
        <f t="shared" ref="D93:D96" si="243">"机械22199"</f>
        <v>机械22199</v>
      </c>
      <c r="E93" t="str">
        <f t="shared" si="94"/>
        <v>2022</v>
      </c>
      <c r="F93" t="str">
        <f t="shared" si="175"/>
        <v>东莞电研院</v>
      </c>
      <c r="G93" t="str">
        <f t="shared" si="176"/>
        <v>专升本</v>
      </c>
      <c r="H93" t="str">
        <f t="shared" ref="H93:H96" si="244">"机械设计制造及其自动化"</f>
        <v>机械设计制造及其自动化</v>
      </c>
      <c r="I93" t="str">
        <f t="shared" si="148"/>
        <v>函授</v>
      </c>
      <c r="J93" t="str">
        <f t="shared" si="240"/>
        <v>赵朗</v>
      </c>
      <c r="K93" t="s">
        <v>32</v>
      </c>
      <c r="L93" t="s">
        <v>173</v>
      </c>
      <c r="M93" t="s">
        <v>174</v>
      </c>
      <c r="Q93" t="str">
        <f t="shared" si="229"/>
        <v>未选择</v>
      </c>
      <c r="U93" t="str">
        <f t="shared" ref="U93:W93" si="245">"-"</f>
        <v>-</v>
      </c>
      <c r="V93" t="str">
        <f t="shared" si="245"/>
        <v>-</v>
      </c>
      <c r="W93" t="str">
        <f t="shared" si="245"/>
        <v>-</v>
      </c>
      <c r="X93" t="str">
        <f t="shared" si="178"/>
        <v>未填写</v>
      </c>
      <c r="Y93" t="str">
        <f t="shared" ref="Y93:AA93" si="246">"未上传"</f>
        <v>未上传</v>
      </c>
      <c r="Z93" t="str">
        <f t="shared" si="246"/>
        <v>未上传</v>
      </c>
      <c r="AA93" t="str">
        <f t="shared" si="246"/>
        <v>未上传</v>
      </c>
      <c r="AB93" t="str">
        <f t="shared" si="207"/>
        <v>非书面答辩</v>
      </c>
      <c r="AC93" t="str">
        <f t="shared" si="180"/>
        <v>学生未填写</v>
      </c>
      <c r="AD93" t="str">
        <f t="shared" si="181"/>
        <v>未填写</v>
      </c>
      <c r="AE93" t="str">
        <f t="shared" si="182"/>
        <v>未签名</v>
      </c>
    </row>
    <row r="94" spans="1:31">
      <c r="A94" t="str">
        <f>"刘佳玲"</f>
        <v>刘佳玲</v>
      </c>
      <c r="B94" t="str">
        <f>"2217112123006"</f>
        <v>2217112123006</v>
      </c>
      <c r="C94" t="s">
        <v>176</v>
      </c>
      <c r="D94" t="str">
        <f t="shared" si="243"/>
        <v>机械22199</v>
      </c>
      <c r="E94" t="str">
        <f t="shared" si="94"/>
        <v>2022</v>
      </c>
      <c r="F94" t="str">
        <f t="shared" si="175"/>
        <v>东莞电研院</v>
      </c>
      <c r="G94" t="str">
        <f t="shared" si="176"/>
        <v>专升本</v>
      </c>
      <c r="H94" t="str">
        <f t="shared" si="244"/>
        <v>机械设计制造及其自动化</v>
      </c>
      <c r="I94" t="str">
        <f t="shared" si="148"/>
        <v>函授</v>
      </c>
      <c r="J94" t="str">
        <f>"王正发"</f>
        <v>王正发</v>
      </c>
      <c r="K94" t="s">
        <v>32</v>
      </c>
      <c r="L94" t="s">
        <v>177</v>
      </c>
      <c r="M94" t="s">
        <v>178</v>
      </c>
      <c r="Q94" t="str">
        <f t="shared" si="229"/>
        <v>未选择</v>
      </c>
      <c r="U94" t="str">
        <f t="shared" ref="U94:W94" si="247">"-"</f>
        <v>-</v>
      </c>
      <c r="V94" t="str">
        <f t="shared" si="247"/>
        <v>-</v>
      </c>
      <c r="W94" t="str">
        <f t="shared" si="247"/>
        <v>-</v>
      </c>
      <c r="X94" t="str">
        <f t="shared" si="178"/>
        <v>未填写</v>
      </c>
      <c r="Y94" t="str">
        <f t="shared" ref="Y94:AA94" si="248">"未上传"</f>
        <v>未上传</v>
      </c>
      <c r="Z94" t="str">
        <f t="shared" si="248"/>
        <v>未上传</v>
      </c>
      <c r="AA94" t="str">
        <f t="shared" si="248"/>
        <v>未上传</v>
      </c>
      <c r="AB94" t="str">
        <f t="shared" si="207"/>
        <v>非书面答辩</v>
      </c>
      <c r="AC94" t="str">
        <f t="shared" si="180"/>
        <v>学生未填写</v>
      </c>
      <c r="AD94" t="str">
        <f t="shared" si="181"/>
        <v>未填写</v>
      </c>
      <c r="AE94" t="str">
        <f t="shared" si="182"/>
        <v>未签名</v>
      </c>
    </row>
    <row r="95" spans="1:31">
      <c r="A95" t="str">
        <f>"罗彪"</f>
        <v>罗彪</v>
      </c>
      <c r="B95" t="str">
        <f>"2217112123007"</f>
        <v>2217112123007</v>
      </c>
      <c r="C95" t="s">
        <v>179</v>
      </c>
      <c r="D95" t="str">
        <f t="shared" si="243"/>
        <v>机械22199</v>
      </c>
      <c r="E95" t="str">
        <f t="shared" si="94"/>
        <v>2022</v>
      </c>
      <c r="F95" t="str">
        <f t="shared" si="175"/>
        <v>东莞电研院</v>
      </c>
      <c r="G95" t="str">
        <f t="shared" si="176"/>
        <v>专升本</v>
      </c>
      <c r="H95" t="str">
        <f t="shared" si="244"/>
        <v>机械设计制造及其自动化</v>
      </c>
      <c r="I95" t="str">
        <f t="shared" si="148"/>
        <v>函授</v>
      </c>
      <c r="J95" t="str">
        <f t="shared" si="240"/>
        <v>赵朗</v>
      </c>
      <c r="K95" t="s">
        <v>32</v>
      </c>
      <c r="L95" t="s">
        <v>173</v>
      </c>
      <c r="M95" t="s">
        <v>174</v>
      </c>
      <c r="Q95" t="str">
        <f t="shared" si="229"/>
        <v>未选择</v>
      </c>
      <c r="U95" t="str">
        <f t="shared" ref="U95:W95" si="249">"-"</f>
        <v>-</v>
      </c>
      <c r="V95" t="str">
        <f t="shared" si="249"/>
        <v>-</v>
      </c>
      <c r="W95" t="str">
        <f t="shared" si="249"/>
        <v>-</v>
      </c>
      <c r="X95" t="str">
        <f t="shared" si="178"/>
        <v>未填写</v>
      </c>
      <c r="Y95" t="str">
        <f t="shared" ref="Y95:AA95" si="250">"未上传"</f>
        <v>未上传</v>
      </c>
      <c r="Z95" t="str">
        <f t="shared" si="250"/>
        <v>未上传</v>
      </c>
      <c r="AA95" t="str">
        <f t="shared" si="250"/>
        <v>未上传</v>
      </c>
      <c r="AB95" t="str">
        <f t="shared" si="207"/>
        <v>非书面答辩</v>
      </c>
      <c r="AC95" t="str">
        <f t="shared" si="180"/>
        <v>学生未填写</v>
      </c>
      <c r="AD95" t="str">
        <f t="shared" si="181"/>
        <v>未填写</v>
      </c>
      <c r="AE95" t="str">
        <f t="shared" si="182"/>
        <v>未签名</v>
      </c>
    </row>
    <row r="96" spans="1:31">
      <c r="A96" t="str">
        <f>"聂保怡"</f>
        <v>聂保怡</v>
      </c>
      <c r="B96" t="str">
        <f>"2217112123008"</f>
        <v>2217112123008</v>
      </c>
      <c r="C96" t="s">
        <v>180</v>
      </c>
      <c r="D96" t="str">
        <f t="shared" si="243"/>
        <v>机械22199</v>
      </c>
      <c r="E96" t="str">
        <f t="shared" si="94"/>
        <v>2022</v>
      </c>
      <c r="F96" t="str">
        <f t="shared" si="175"/>
        <v>东莞电研院</v>
      </c>
      <c r="G96" t="str">
        <f t="shared" si="176"/>
        <v>专升本</v>
      </c>
      <c r="H96" t="str">
        <f t="shared" si="244"/>
        <v>机械设计制造及其自动化</v>
      </c>
      <c r="I96" t="str">
        <f t="shared" si="148"/>
        <v>函授</v>
      </c>
      <c r="J96" t="str">
        <f>"王正发"</f>
        <v>王正发</v>
      </c>
      <c r="K96" t="s">
        <v>32</v>
      </c>
      <c r="L96" t="s">
        <v>177</v>
      </c>
      <c r="M96" t="s">
        <v>178</v>
      </c>
      <c r="Q96" t="str">
        <f t="shared" si="229"/>
        <v>未选择</v>
      </c>
      <c r="U96" t="str">
        <f t="shared" ref="U96:W96" si="251">"-"</f>
        <v>-</v>
      </c>
      <c r="V96" t="str">
        <f t="shared" si="251"/>
        <v>-</v>
      </c>
      <c r="W96" t="str">
        <f t="shared" si="251"/>
        <v>-</v>
      </c>
      <c r="X96" t="str">
        <f t="shared" si="178"/>
        <v>未填写</v>
      </c>
      <c r="Y96" t="str">
        <f t="shared" ref="Y96:AA96" si="252">"未上传"</f>
        <v>未上传</v>
      </c>
      <c r="Z96" t="str">
        <f t="shared" si="252"/>
        <v>未上传</v>
      </c>
      <c r="AA96" t="str">
        <f t="shared" si="252"/>
        <v>未上传</v>
      </c>
      <c r="AB96" t="str">
        <f t="shared" si="207"/>
        <v>非书面答辩</v>
      </c>
      <c r="AC96" t="str">
        <f t="shared" si="180"/>
        <v>学生未填写</v>
      </c>
      <c r="AD96" t="str">
        <f t="shared" si="181"/>
        <v>未填写</v>
      </c>
      <c r="AE96" t="str">
        <f t="shared" si="182"/>
        <v>未签名</v>
      </c>
    </row>
    <row r="97" hidden="1" spans="1:31">
      <c r="A97" t="str">
        <f>"程锦涛"</f>
        <v>程锦涛</v>
      </c>
      <c r="B97" t="str">
        <f>"2217112124003"</f>
        <v>2217112124003</v>
      </c>
      <c r="C97" t="s">
        <v>181</v>
      </c>
      <c r="D97" t="str">
        <f t="shared" ref="D97:D99" si="253">"人力22246"</f>
        <v>人力22246</v>
      </c>
      <c r="E97" t="str">
        <f t="shared" si="94"/>
        <v>2022</v>
      </c>
      <c r="F97" t="str">
        <f t="shared" si="175"/>
        <v>东莞电研院</v>
      </c>
      <c r="G97" t="str">
        <f t="shared" si="176"/>
        <v>专升本</v>
      </c>
      <c r="H97" t="str">
        <f t="shared" ref="H97:H99" si="254">"人力资源管理"</f>
        <v>人力资源管理</v>
      </c>
      <c r="I97" t="str">
        <f t="shared" si="148"/>
        <v>函授</v>
      </c>
      <c r="J97" t="str">
        <f t="shared" ref="J97:J99" si="255">"李美玲"</f>
        <v>李美玲</v>
      </c>
      <c r="K97" t="s">
        <v>44</v>
      </c>
      <c r="L97" t="s">
        <v>88</v>
      </c>
      <c r="M97" t="s">
        <v>89</v>
      </c>
      <c r="Q97" t="str">
        <f t="shared" si="229"/>
        <v>未选择</v>
      </c>
      <c r="U97" t="str">
        <f t="shared" ref="U97:W97" si="256">"-"</f>
        <v>-</v>
      </c>
      <c r="V97" t="str">
        <f t="shared" si="256"/>
        <v>-</v>
      </c>
      <c r="W97" t="str">
        <f t="shared" si="256"/>
        <v>-</v>
      </c>
      <c r="X97" t="str">
        <f t="shared" si="178"/>
        <v>未填写</v>
      </c>
      <c r="Y97" t="str">
        <f t="shared" ref="Y97:AA97" si="257">"未上传"</f>
        <v>未上传</v>
      </c>
      <c r="Z97" t="str">
        <f t="shared" si="257"/>
        <v>未上传</v>
      </c>
      <c r="AA97" t="str">
        <f t="shared" si="257"/>
        <v>未上传</v>
      </c>
      <c r="AB97" t="str">
        <f t="shared" si="207"/>
        <v>非书面答辩</v>
      </c>
      <c r="AC97" t="str">
        <f t="shared" si="180"/>
        <v>学生未填写</v>
      </c>
      <c r="AD97" t="str">
        <f t="shared" si="181"/>
        <v>未填写</v>
      </c>
      <c r="AE97" t="str">
        <f t="shared" si="182"/>
        <v>未签名</v>
      </c>
    </row>
    <row r="98" hidden="1" spans="1:31">
      <c r="A98" t="str">
        <f>"黄楚城"</f>
        <v>黄楚城</v>
      </c>
      <c r="B98" t="str">
        <f>"2217112124005"</f>
        <v>2217112124005</v>
      </c>
      <c r="C98" t="s">
        <v>182</v>
      </c>
      <c r="D98" t="str">
        <f t="shared" si="253"/>
        <v>人力22246</v>
      </c>
      <c r="E98" t="str">
        <f t="shared" si="94"/>
        <v>2022</v>
      </c>
      <c r="F98" t="str">
        <f t="shared" si="175"/>
        <v>东莞电研院</v>
      </c>
      <c r="G98" t="str">
        <f t="shared" si="176"/>
        <v>专升本</v>
      </c>
      <c r="H98" t="str">
        <f t="shared" si="254"/>
        <v>人力资源管理</v>
      </c>
      <c r="I98" t="str">
        <f t="shared" si="148"/>
        <v>函授</v>
      </c>
      <c r="J98" t="str">
        <f t="shared" si="255"/>
        <v>李美玲</v>
      </c>
      <c r="K98" t="s">
        <v>44</v>
      </c>
      <c r="L98" t="s">
        <v>88</v>
      </c>
      <c r="M98" t="s">
        <v>89</v>
      </c>
      <c r="Q98" t="str">
        <f t="shared" si="229"/>
        <v>未选择</v>
      </c>
      <c r="U98" t="str">
        <f t="shared" ref="U98:W98" si="258">"-"</f>
        <v>-</v>
      </c>
      <c r="V98" t="str">
        <f t="shared" si="258"/>
        <v>-</v>
      </c>
      <c r="W98" t="str">
        <f t="shared" si="258"/>
        <v>-</v>
      </c>
      <c r="X98" t="str">
        <f t="shared" si="178"/>
        <v>未填写</v>
      </c>
      <c r="Y98" t="str">
        <f t="shared" ref="Y98:AA98" si="259">"未上传"</f>
        <v>未上传</v>
      </c>
      <c r="Z98" t="str">
        <f t="shared" si="259"/>
        <v>未上传</v>
      </c>
      <c r="AA98" t="str">
        <f t="shared" si="259"/>
        <v>未上传</v>
      </c>
      <c r="AB98" t="str">
        <f t="shared" si="207"/>
        <v>非书面答辩</v>
      </c>
      <c r="AC98" t="str">
        <f t="shared" si="180"/>
        <v>学生未填写</v>
      </c>
      <c r="AD98" t="str">
        <f t="shared" si="181"/>
        <v>未填写</v>
      </c>
      <c r="AE98" t="str">
        <f t="shared" si="182"/>
        <v>未签名</v>
      </c>
    </row>
    <row r="99" hidden="1" spans="1:31">
      <c r="A99" t="str">
        <f>"李文献"</f>
        <v>李文献</v>
      </c>
      <c r="B99" t="str">
        <f>"2217112124007"</f>
        <v>2217112124007</v>
      </c>
      <c r="C99" t="s">
        <v>183</v>
      </c>
      <c r="D99" t="str">
        <f t="shared" si="253"/>
        <v>人力22246</v>
      </c>
      <c r="E99" t="str">
        <f t="shared" si="94"/>
        <v>2022</v>
      </c>
      <c r="F99" t="str">
        <f t="shared" si="175"/>
        <v>东莞电研院</v>
      </c>
      <c r="G99" t="str">
        <f t="shared" si="176"/>
        <v>专升本</v>
      </c>
      <c r="H99" t="str">
        <f t="shared" si="254"/>
        <v>人力资源管理</v>
      </c>
      <c r="I99" t="str">
        <f t="shared" si="148"/>
        <v>函授</v>
      </c>
      <c r="J99" t="str">
        <f t="shared" si="255"/>
        <v>李美玲</v>
      </c>
      <c r="K99" t="s">
        <v>44</v>
      </c>
      <c r="L99" t="s">
        <v>88</v>
      </c>
      <c r="M99" t="s">
        <v>89</v>
      </c>
      <c r="Q99" t="str">
        <f t="shared" si="229"/>
        <v>未选择</v>
      </c>
      <c r="U99" t="str">
        <f t="shared" ref="U99:W99" si="260">"-"</f>
        <v>-</v>
      </c>
      <c r="V99" t="str">
        <f t="shared" si="260"/>
        <v>-</v>
      </c>
      <c r="W99" t="str">
        <f t="shared" si="260"/>
        <v>-</v>
      </c>
      <c r="X99" t="str">
        <f t="shared" si="178"/>
        <v>未填写</v>
      </c>
      <c r="Y99" t="str">
        <f t="shared" ref="Y99:AA99" si="261">"未上传"</f>
        <v>未上传</v>
      </c>
      <c r="Z99" t="str">
        <f t="shared" si="261"/>
        <v>未上传</v>
      </c>
      <c r="AA99" t="str">
        <f t="shared" si="261"/>
        <v>未上传</v>
      </c>
      <c r="AB99" t="str">
        <f t="shared" si="207"/>
        <v>非书面答辩</v>
      </c>
      <c r="AC99" t="str">
        <f t="shared" si="180"/>
        <v>学生未填写</v>
      </c>
      <c r="AD99" t="str">
        <f t="shared" si="181"/>
        <v>未填写</v>
      </c>
      <c r="AE99" t="str">
        <f t="shared" si="182"/>
        <v>未签名</v>
      </c>
    </row>
    <row r="100" hidden="1" spans="1:31">
      <c r="A100" t="str">
        <f>"陈仁胜"</f>
        <v>陈仁胜</v>
      </c>
      <c r="B100" t="str">
        <f>"2217211101004"</f>
        <v>2217211101004</v>
      </c>
      <c r="C100" t="s">
        <v>184</v>
      </c>
      <c r="D100" t="str">
        <f t="shared" ref="D100:D104" si="262">"金融22235"</f>
        <v>金融22235</v>
      </c>
      <c r="E100" t="str">
        <f t="shared" ref="E100:E163" si="263">"2022"</f>
        <v>2022</v>
      </c>
      <c r="F100" t="str">
        <f t="shared" si="175"/>
        <v>东莞电研院</v>
      </c>
      <c r="G100" t="str">
        <f t="shared" si="176"/>
        <v>专升本</v>
      </c>
      <c r="H100" t="str">
        <f t="shared" ref="H100:H104" si="264">"金融学"</f>
        <v>金融学</v>
      </c>
      <c r="I100" t="str">
        <f t="shared" ref="I100:I128" si="265">"业余"</f>
        <v>业余</v>
      </c>
      <c r="J100" t="str">
        <f t="shared" ref="J100:J104" si="266">"陈雪欣"</f>
        <v>陈雪欣</v>
      </c>
      <c r="K100" t="s">
        <v>44</v>
      </c>
      <c r="L100" t="s">
        <v>66</v>
      </c>
      <c r="M100" t="s">
        <v>67</v>
      </c>
      <c r="Q100" t="str">
        <f t="shared" si="229"/>
        <v>未选择</v>
      </c>
      <c r="U100" t="str">
        <f t="shared" ref="U100:W100" si="267">"-"</f>
        <v>-</v>
      </c>
      <c r="V100" t="str">
        <f t="shared" si="267"/>
        <v>-</v>
      </c>
      <c r="W100" t="str">
        <f t="shared" si="267"/>
        <v>-</v>
      </c>
      <c r="X100" t="str">
        <f t="shared" si="178"/>
        <v>未填写</v>
      </c>
      <c r="Y100" t="str">
        <f t="shared" ref="Y100:AA100" si="268">"未上传"</f>
        <v>未上传</v>
      </c>
      <c r="Z100" t="str">
        <f t="shared" si="268"/>
        <v>未上传</v>
      </c>
      <c r="AA100" t="str">
        <f t="shared" si="268"/>
        <v>未上传</v>
      </c>
      <c r="AB100" t="str">
        <f t="shared" si="207"/>
        <v>非书面答辩</v>
      </c>
      <c r="AC100" t="str">
        <f t="shared" si="180"/>
        <v>学生未填写</v>
      </c>
      <c r="AD100" t="str">
        <f t="shared" si="181"/>
        <v>未填写</v>
      </c>
      <c r="AE100" t="str">
        <f t="shared" si="182"/>
        <v>未签名</v>
      </c>
    </row>
    <row r="101" hidden="1" spans="1:31">
      <c r="A101" t="str">
        <f>"黄锋"</f>
        <v>黄锋</v>
      </c>
      <c r="B101" t="str">
        <f>"2217211101005"</f>
        <v>2217211101005</v>
      </c>
      <c r="C101" t="s">
        <v>185</v>
      </c>
      <c r="D101" t="str">
        <f t="shared" si="262"/>
        <v>金融22235</v>
      </c>
      <c r="E101" t="str">
        <f t="shared" si="263"/>
        <v>2022</v>
      </c>
      <c r="F101" t="str">
        <f t="shared" si="175"/>
        <v>东莞电研院</v>
      </c>
      <c r="G101" t="str">
        <f t="shared" si="176"/>
        <v>专升本</v>
      </c>
      <c r="H101" t="str">
        <f t="shared" si="264"/>
        <v>金融学</v>
      </c>
      <c r="I101" t="str">
        <f t="shared" si="265"/>
        <v>业余</v>
      </c>
      <c r="J101" t="str">
        <f t="shared" si="266"/>
        <v>陈雪欣</v>
      </c>
      <c r="K101" t="s">
        <v>44</v>
      </c>
      <c r="L101" t="s">
        <v>66</v>
      </c>
      <c r="M101" t="s">
        <v>67</v>
      </c>
      <c r="Q101" t="str">
        <f t="shared" si="229"/>
        <v>未选择</v>
      </c>
      <c r="U101" t="str">
        <f t="shared" ref="U101:W101" si="269">"-"</f>
        <v>-</v>
      </c>
      <c r="V101" t="str">
        <f t="shared" si="269"/>
        <v>-</v>
      </c>
      <c r="W101" t="str">
        <f t="shared" si="269"/>
        <v>-</v>
      </c>
      <c r="X101" t="str">
        <f t="shared" si="178"/>
        <v>未填写</v>
      </c>
      <c r="Y101" t="str">
        <f t="shared" ref="Y101:AA101" si="270">"未上传"</f>
        <v>未上传</v>
      </c>
      <c r="Z101" t="str">
        <f t="shared" si="270"/>
        <v>未上传</v>
      </c>
      <c r="AA101" t="str">
        <f t="shared" si="270"/>
        <v>未上传</v>
      </c>
      <c r="AB101" t="str">
        <f t="shared" si="207"/>
        <v>非书面答辩</v>
      </c>
      <c r="AC101" t="str">
        <f t="shared" si="180"/>
        <v>学生未填写</v>
      </c>
      <c r="AD101" t="str">
        <f t="shared" si="181"/>
        <v>未填写</v>
      </c>
      <c r="AE101" t="str">
        <f t="shared" si="182"/>
        <v>未签名</v>
      </c>
    </row>
    <row r="102" hidden="1" spans="1:31">
      <c r="A102" t="str">
        <f>"黄文杰"</f>
        <v>黄文杰</v>
      </c>
      <c r="B102" t="str">
        <f>"2217211101006"</f>
        <v>2217211101006</v>
      </c>
      <c r="C102" t="s">
        <v>186</v>
      </c>
      <c r="D102" t="str">
        <f t="shared" si="262"/>
        <v>金融22235</v>
      </c>
      <c r="E102" t="str">
        <f t="shared" si="263"/>
        <v>2022</v>
      </c>
      <c r="F102" t="str">
        <f t="shared" si="175"/>
        <v>东莞电研院</v>
      </c>
      <c r="G102" t="str">
        <f t="shared" si="176"/>
        <v>专升本</v>
      </c>
      <c r="H102" t="str">
        <f t="shared" si="264"/>
        <v>金融学</v>
      </c>
      <c r="I102" t="str">
        <f t="shared" si="265"/>
        <v>业余</v>
      </c>
      <c r="J102" t="str">
        <f t="shared" si="266"/>
        <v>陈雪欣</v>
      </c>
      <c r="K102" t="s">
        <v>44</v>
      </c>
      <c r="L102" t="s">
        <v>66</v>
      </c>
      <c r="M102" t="s">
        <v>67</v>
      </c>
      <c r="Q102" t="str">
        <f t="shared" si="229"/>
        <v>未选择</v>
      </c>
      <c r="U102" t="str">
        <f t="shared" ref="U102:W102" si="271">"-"</f>
        <v>-</v>
      </c>
      <c r="V102" t="str">
        <f t="shared" si="271"/>
        <v>-</v>
      </c>
      <c r="W102" t="str">
        <f t="shared" si="271"/>
        <v>-</v>
      </c>
      <c r="X102" t="str">
        <f t="shared" si="178"/>
        <v>未填写</v>
      </c>
      <c r="Y102" t="str">
        <f t="shared" ref="Y102:AA102" si="272">"未上传"</f>
        <v>未上传</v>
      </c>
      <c r="Z102" t="str">
        <f t="shared" si="272"/>
        <v>未上传</v>
      </c>
      <c r="AA102" t="str">
        <f t="shared" si="272"/>
        <v>未上传</v>
      </c>
      <c r="AB102" t="str">
        <f t="shared" si="207"/>
        <v>非书面答辩</v>
      </c>
      <c r="AC102" t="str">
        <f t="shared" si="180"/>
        <v>学生未填写</v>
      </c>
      <c r="AD102" t="str">
        <f t="shared" si="181"/>
        <v>未填写</v>
      </c>
      <c r="AE102" t="str">
        <f t="shared" si="182"/>
        <v>未签名</v>
      </c>
    </row>
    <row r="103" hidden="1" spans="1:31">
      <c r="A103" t="str">
        <f>"黎健鹏"</f>
        <v>黎健鹏</v>
      </c>
      <c r="B103" t="str">
        <f>"2217211101007"</f>
        <v>2217211101007</v>
      </c>
      <c r="C103" t="s">
        <v>187</v>
      </c>
      <c r="D103" t="str">
        <f t="shared" si="262"/>
        <v>金融22235</v>
      </c>
      <c r="E103" t="str">
        <f t="shared" si="263"/>
        <v>2022</v>
      </c>
      <c r="F103" t="str">
        <f t="shared" si="175"/>
        <v>东莞电研院</v>
      </c>
      <c r="G103" t="str">
        <f t="shared" si="176"/>
        <v>专升本</v>
      </c>
      <c r="H103" t="str">
        <f t="shared" si="264"/>
        <v>金融学</v>
      </c>
      <c r="I103" t="str">
        <f t="shared" si="265"/>
        <v>业余</v>
      </c>
      <c r="J103" t="str">
        <f t="shared" si="266"/>
        <v>陈雪欣</v>
      </c>
      <c r="K103" t="s">
        <v>44</v>
      </c>
      <c r="L103" t="s">
        <v>66</v>
      </c>
      <c r="M103" t="s">
        <v>67</v>
      </c>
      <c r="Q103" t="str">
        <f t="shared" si="229"/>
        <v>未选择</v>
      </c>
      <c r="U103" t="str">
        <f t="shared" ref="U103:W103" si="273">"-"</f>
        <v>-</v>
      </c>
      <c r="V103" t="str">
        <f t="shared" si="273"/>
        <v>-</v>
      </c>
      <c r="W103" t="str">
        <f t="shared" si="273"/>
        <v>-</v>
      </c>
      <c r="X103" t="str">
        <f t="shared" si="178"/>
        <v>未填写</v>
      </c>
      <c r="Y103" t="str">
        <f t="shared" ref="Y103:AA103" si="274">"未上传"</f>
        <v>未上传</v>
      </c>
      <c r="Z103" t="str">
        <f t="shared" si="274"/>
        <v>未上传</v>
      </c>
      <c r="AA103" t="str">
        <f t="shared" si="274"/>
        <v>未上传</v>
      </c>
      <c r="AB103" t="str">
        <f t="shared" si="207"/>
        <v>非书面答辩</v>
      </c>
      <c r="AC103" t="str">
        <f t="shared" si="180"/>
        <v>学生未填写</v>
      </c>
      <c r="AD103" t="str">
        <f t="shared" si="181"/>
        <v>未填写</v>
      </c>
      <c r="AE103" t="str">
        <f t="shared" si="182"/>
        <v>未签名</v>
      </c>
    </row>
    <row r="104" hidden="1" spans="1:31">
      <c r="A104" t="str">
        <f>"萧嘉雯"</f>
        <v>萧嘉雯</v>
      </c>
      <c r="B104" t="str">
        <f>"2217211101010"</f>
        <v>2217211101010</v>
      </c>
      <c r="C104" t="s">
        <v>188</v>
      </c>
      <c r="D104" t="str">
        <f t="shared" si="262"/>
        <v>金融22235</v>
      </c>
      <c r="E104" t="str">
        <f t="shared" si="263"/>
        <v>2022</v>
      </c>
      <c r="F104" t="str">
        <f t="shared" si="175"/>
        <v>东莞电研院</v>
      </c>
      <c r="G104" t="str">
        <f t="shared" si="176"/>
        <v>专升本</v>
      </c>
      <c r="H104" t="str">
        <f t="shared" si="264"/>
        <v>金融学</v>
      </c>
      <c r="I104" t="str">
        <f t="shared" si="265"/>
        <v>业余</v>
      </c>
      <c r="J104" t="str">
        <f t="shared" si="266"/>
        <v>陈雪欣</v>
      </c>
      <c r="K104" t="s">
        <v>44</v>
      </c>
      <c r="L104" t="s">
        <v>66</v>
      </c>
      <c r="M104" t="s">
        <v>67</v>
      </c>
      <c r="Q104" t="str">
        <f t="shared" si="229"/>
        <v>未选择</v>
      </c>
      <c r="U104" t="str">
        <f t="shared" ref="U104:W104" si="275">"-"</f>
        <v>-</v>
      </c>
      <c r="V104" t="str">
        <f t="shared" si="275"/>
        <v>-</v>
      </c>
      <c r="W104" t="str">
        <f t="shared" si="275"/>
        <v>-</v>
      </c>
      <c r="X104" t="str">
        <f t="shared" si="178"/>
        <v>未填写</v>
      </c>
      <c r="Y104" t="str">
        <f t="shared" ref="Y104:AA104" si="276">"未上传"</f>
        <v>未上传</v>
      </c>
      <c r="Z104" t="str">
        <f t="shared" si="276"/>
        <v>未上传</v>
      </c>
      <c r="AA104" t="str">
        <f t="shared" si="276"/>
        <v>未上传</v>
      </c>
      <c r="AB104" t="str">
        <f t="shared" si="207"/>
        <v>非书面答辩</v>
      </c>
      <c r="AC104" t="str">
        <f t="shared" si="180"/>
        <v>学生未填写</v>
      </c>
      <c r="AD104" t="str">
        <f t="shared" si="181"/>
        <v>未填写</v>
      </c>
      <c r="AE104" t="str">
        <f t="shared" si="182"/>
        <v>未签名</v>
      </c>
    </row>
    <row r="105" hidden="1" spans="1:31">
      <c r="A105" t="str">
        <f>"麦玉琴"</f>
        <v>麦玉琴</v>
      </c>
      <c r="B105" t="str">
        <f>"2217211102002"</f>
        <v>2217211102002</v>
      </c>
      <c r="C105" t="s">
        <v>189</v>
      </c>
      <c r="D105" t="str">
        <f>"国贸22153"</f>
        <v>国贸22153</v>
      </c>
      <c r="E105" t="str">
        <f t="shared" si="263"/>
        <v>2022</v>
      </c>
      <c r="F105" t="str">
        <f t="shared" si="175"/>
        <v>东莞电研院</v>
      </c>
      <c r="G105" t="str">
        <f t="shared" si="176"/>
        <v>专升本</v>
      </c>
      <c r="H105" t="str">
        <f>"国际经济与贸易"</f>
        <v>国际经济与贸易</v>
      </c>
      <c r="I105" t="str">
        <f t="shared" si="265"/>
        <v>业余</v>
      </c>
      <c r="J105" t="str">
        <f>"陈雪铃"</f>
        <v>陈雪铃</v>
      </c>
      <c r="K105" t="s">
        <v>44</v>
      </c>
      <c r="L105" t="s">
        <v>45</v>
      </c>
      <c r="M105" t="s">
        <v>46</v>
      </c>
      <c r="Q105" t="str">
        <f t="shared" si="229"/>
        <v>未选择</v>
      </c>
      <c r="U105" t="str">
        <f t="shared" ref="U105:W105" si="277">"-"</f>
        <v>-</v>
      </c>
      <c r="V105" t="str">
        <f t="shared" si="277"/>
        <v>-</v>
      </c>
      <c r="W105" t="str">
        <f t="shared" si="277"/>
        <v>-</v>
      </c>
      <c r="X105" t="str">
        <f t="shared" si="178"/>
        <v>未填写</v>
      </c>
      <c r="Y105" t="str">
        <f t="shared" ref="Y105:AA105" si="278">"未上传"</f>
        <v>未上传</v>
      </c>
      <c r="Z105" t="str">
        <f t="shared" si="278"/>
        <v>未上传</v>
      </c>
      <c r="AA105" t="str">
        <f t="shared" si="278"/>
        <v>未上传</v>
      </c>
      <c r="AB105" t="str">
        <f t="shared" si="207"/>
        <v>非书面答辩</v>
      </c>
      <c r="AC105" t="str">
        <f t="shared" si="180"/>
        <v>学生未填写</v>
      </c>
      <c r="AD105" t="str">
        <f t="shared" si="181"/>
        <v>未填写</v>
      </c>
      <c r="AE105" t="str">
        <f t="shared" si="182"/>
        <v>未签名</v>
      </c>
    </row>
    <row r="106" spans="1:31">
      <c r="A106" t="str">
        <f>"陈博辉"</f>
        <v>陈博辉</v>
      </c>
      <c r="B106" t="str">
        <f>"2217211103001"</f>
        <v>2217211103001</v>
      </c>
      <c r="C106" t="s">
        <v>190</v>
      </c>
      <c r="D106" t="str">
        <f t="shared" ref="D106:D118" si="279">"法学22086"</f>
        <v>法学22086</v>
      </c>
      <c r="E106" t="str">
        <f t="shared" si="263"/>
        <v>2022</v>
      </c>
      <c r="F106" t="str">
        <f t="shared" si="175"/>
        <v>东莞电研院</v>
      </c>
      <c r="G106" t="str">
        <f t="shared" si="176"/>
        <v>专升本</v>
      </c>
      <c r="H106" t="str">
        <f t="shared" ref="H106:H118" si="280">"法学"</f>
        <v>法学</v>
      </c>
      <c r="I106" t="str">
        <f t="shared" si="265"/>
        <v>业余</v>
      </c>
      <c r="J106" t="str">
        <f t="shared" ref="J106:J110" si="281">"闻渊"</f>
        <v>闻渊</v>
      </c>
      <c r="K106" t="s">
        <v>32</v>
      </c>
      <c r="L106" t="s">
        <v>111</v>
      </c>
      <c r="M106" t="str">
        <f>"13826499205@qq.com"</f>
        <v>13826499205@qq.com</v>
      </c>
      <c r="Q106" t="str">
        <f t="shared" si="229"/>
        <v>未选择</v>
      </c>
      <c r="U106" t="str">
        <f t="shared" ref="U106:W106" si="282">"-"</f>
        <v>-</v>
      </c>
      <c r="V106" t="str">
        <f t="shared" si="282"/>
        <v>-</v>
      </c>
      <c r="W106" t="str">
        <f t="shared" si="282"/>
        <v>-</v>
      </c>
      <c r="X106" t="str">
        <f t="shared" si="178"/>
        <v>未填写</v>
      </c>
      <c r="Y106" t="str">
        <f t="shared" ref="Y106:AA106" si="283">"未上传"</f>
        <v>未上传</v>
      </c>
      <c r="Z106" t="str">
        <f t="shared" si="283"/>
        <v>未上传</v>
      </c>
      <c r="AA106" t="str">
        <f t="shared" si="283"/>
        <v>未上传</v>
      </c>
      <c r="AB106" t="str">
        <f t="shared" si="207"/>
        <v>非书面答辩</v>
      </c>
      <c r="AC106" t="str">
        <f t="shared" si="180"/>
        <v>学生未填写</v>
      </c>
      <c r="AD106" t="str">
        <f t="shared" si="181"/>
        <v>未填写</v>
      </c>
      <c r="AE106" t="str">
        <f t="shared" si="182"/>
        <v>未签名</v>
      </c>
    </row>
    <row r="107" spans="1:31">
      <c r="A107" t="str">
        <f>"陈俊安"</f>
        <v>陈俊安</v>
      </c>
      <c r="B107" t="str">
        <f>"2217211103003"</f>
        <v>2217211103003</v>
      </c>
      <c r="C107" t="s">
        <v>191</v>
      </c>
      <c r="D107" t="str">
        <f t="shared" si="279"/>
        <v>法学22086</v>
      </c>
      <c r="E107" t="str">
        <f t="shared" si="263"/>
        <v>2022</v>
      </c>
      <c r="F107" t="str">
        <f t="shared" si="175"/>
        <v>东莞电研院</v>
      </c>
      <c r="G107" t="str">
        <f t="shared" si="176"/>
        <v>专升本</v>
      </c>
      <c r="H107" t="str">
        <f t="shared" si="280"/>
        <v>法学</v>
      </c>
      <c r="I107" t="str">
        <f t="shared" si="265"/>
        <v>业余</v>
      </c>
      <c r="J107" t="str">
        <f t="shared" si="281"/>
        <v>闻渊</v>
      </c>
      <c r="K107" t="s">
        <v>32</v>
      </c>
      <c r="L107" t="s">
        <v>111</v>
      </c>
      <c r="M107" t="str">
        <f>"13826499205@qq.com"</f>
        <v>13826499205@qq.com</v>
      </c>
      <c r="Q107" t="str">
        <f t="shared" si="229"/>
        <v>未选择</v>
      </c>
      <c r="U107" t="str">
        <f t="shared" ref="U107:W107" si="284">"-"</f>
        <v>-</v>
      </c>
      <c r="V107" t="str">
        <f t="shared" si="284"/>
        <v>-</v>
      </c>
      <c r="W107" t="str">
        <f t="shared" si="284"/>
        <v>-</v>
      </c>
      <c r="X107" t="str">
        <f t="shared" si="178"/>
        <v>未填写</v>
      </c>
      <c r="Y107" t="str">
        <f t="shared" ref="Y107:AA107" si="285">"未上传"</f>
        <v>未上传</v>
      </c>
      <c r="Z107" t="str">
        <f t="shared" si="285"/>
        <v>未上传</v>
      </c>
      <c r="AA107" t="str">
        <f t="shared" si="285"/>
        <v>未上传</v>
      </c>
      <c r="AB107" t="str">
        <f t="shared" si="207"/>
        <v>非书面答辩</v>
      </c>
      <c r="AC107" t="str">
        <f t="shared" si="180"/>
        <v>学生未填写</v>
      </c>
      <c r="AD107" t="str">
        <f t="shared" si="181"/>
        <v>未填写</v>
      </c>
      <c r="AE107" t="str">
        <f t="shared" si="182"/>
        <v>未签名</v>
      </c>
    </row>
    <row r="108" spans="1:31">
      <c r="A108" t="str">
        <f>"邓远花"</f>
        <v>邓远花</v>
      </c>
      <c r="B108" t="str">
        <f>"2217211103007"</f>
        <v>2217211103007</v>
      </c>
      <c r="C108" t="s">
        <v>192</v>
      </c>
      <c r="D108" t="str">
        <f t="shared" si="279"/>
        <v>法学22086</v>
      </c>
      <c r="E108" t="str">
        <f t="shared" si="263"/>
        <v>2022</v>
      </c>
      <c r="F108" t="str">
        <f t="shared" si="175"/>
        <v>东莞电研院</v>
      </c>
      <c r="G108" t="str">
        <f t="shared" si="176"/>
        <v>专升本</v>
      </c>
      <c r="H108" t="str">
        <f t="shared" si="280"/>
        <v>法学</v>
      </c>
      <c r="I108" t="str">
        <f t="shared" si="265"/>
        <v>业余</v>
      </c>
      <c r="J108" t="str">
        <f t="shared" si="281"/>
        <v>闻渊</v>
      </c>
      <c r="K108" t="s">
        <v>32</v>
      </c>
      <c r="L108" t="s">
        <v>111</v>
      </c>
      <c r="M108" t="str">
        <f>"13826499205@qq.com"</f>
        <v>13826499205@qq.com</v>
      </c>
      <c r="Q108" t="str">
        <f t="shared" si="229"/>
        <v>未选择</v>
      </c>
      <c r="U108" t="str">
        <f t="shared" ref="U108:W108" si="286">"-"</f>
        <v>-</v>
      </c>
      <c r="V108" t="str">
        <f t="shared" si="286"/>
        <v>-</v>
      </c>
      <c r="W108" t="str">
        <f t="shared" si="286"/>
        <v>-</v>
      </c>
      <c r="X108" t="str">
        <f t="shared" si="178"/>
        <v>未填写</v>
      </c>
      <c r="Y108" t="str">
        <f t="shared" ref="Y108:AA108" si="287">"未上传"</f>
        <v>未上传</v>
      </c>
      <c r="Z108" t="str">
        <f t="shared" si="287"/>
        <v>未上传</v>
      </c>
      <c r="AA108" t="str">
        <f t="shared" si="287"/>
        <v>未上传</v>
      </c>
      <c r="AB108" t="str">
        <f t="shared" si="207"/>
        <v>非书面答辩</v>
      </c>
      <c r="AC108" t="str">
        <f t="shared" si="180"/>
        <v>学生未填写</v>
      </c>
      <c r="AD108" t="str">
        <f t="shared" si="181"/>
        <v>未填写</v>
      </c>
      <c r="AE108" t="str">
        <f t="shared" si="182"/>
        <v>未签名</v>
      </c>
    </row>
    <row r="109" spans="1:31">
      <c r="A109" t="str">
        <f>"洪亦敏"</f>
        <v>洪亦敏</v>
      </c>
      <c r="B109" t="str">
        <f>"2217211103012"</f>
        <v>2217211103012</v>
      </c>
      <c r="C109" t="s">
        <v>193</v>
      </c>
      <c r="D109" t="str">
        <f t="shared" si="279"/>
        <v>法学22086</v>
      </c>
      <c r="E109" t="str">
        <f t="shared" si="263"/>
        <v>2022</v>
      </c>
      <c r="F109" t="str">
        <f t="shared" si="175"/>
        <v>东莞电研院</v>
      </c>
      <c r="G109" t="str">
        <f t="shared" si="176"/>
        <v>专升本</v>
      </c>
      <c r="H109" t="str">
        <f t="shared" si="280"/>
        <v>法学</v>
      </c>
      <c r="I109" t="str">
        <f t="shared" si="265"/>
        <v>业余</v>
      </c>
      <c r="J109" t="str">
        <f t="shared" si="281"/>
        <v>闻渊</v>
      </c>
      <c r="K109" t="s">
        <v>32</v>
      </c>
      <c r="L109" t="s">
        <v>111</v>
      </c>
      <c r="M109" t="str">
        <f>"13826499205@qq.com"</f>
        <v>13826499205@qq.com</v>
      </c>
      <c r="Q109" t="str">
        <f t="shared" si="229"/>
        <v>未选择</v>
      </c>
      <c r="U109" t="str">
        <f t="shared" ref="U109:W109" si="288">"-"</f>
        <v>-</v>
      </c>
      <c r="V109" t="str">
        <f t="shared" si="288"/>
        <v>-</v>
      </c>
      <c r="W109" t="str">
        <f t="shared" si="288"/>
        <v>-</v>
      </c>
      <c r="X109" t="str">
        <f t="shared" si="178"/>
        <v>未填写</v>
      </c>
      <c r="Y109" t="str">
        <f t="shared" ref="Y109:AA109" si="289">"未上传"</f>
        <v>未上传</v>
      </c>
      <c r="Z109" t="str">
        <f t="shared" si="289"/>
        <v>未上传</v>
      </c>
      <c r="AA109" t="str">
        <f t="shared" si="289"/>
        <v>未上传</v>
      </c>
      <c r="AB109" t="str">
        <f t="shared" si="207"/>
        <v>非书面答辩</v>
      </c>
      <c r="AC109" t="str">
        <f t="shared" si="180"/>
        <v>学生未填写</v>
      </c>
      <c r="AD109" t="str">
        <f t="shared" si="181"/>
        <v>未填写</v>
      </c>
      <c r="AE109" t="str">
        <f t="shared" si="182"/>
        <v>未签名</v>
      </c>
    </row>
    <row r="110" spans="1:31">
      <c r="A110" t="str">
        <f>"黄庭亮"</f>
        <v>黄庭亮</v>
      </c>
      <c r="B110" t="str">
        <f>"2217211103015"</f>
        <v>2217211103015</v>
      </c>
      <c r="C110" t="s">
        <v>194</v>
      </c>
      <c r="D110" t="str">
        <f t="shared" si="279"/>
        <v>法学22086</v>
      </c>
      <c r="E110" t="str">
        <f t="shared" si="263"/>
        <v>2022</v>
      </c>
      <c r="F110" t="str">
        <f t="shared" si="175"/>
        <v>东莞电研院</v>
      </c>
      <c r="G110" t="str">
        <f t="shared" si="176"/>
        <v>专升本</v>
      </c>
      <c r="H110" t="str">
        <f t="shared" si="280"/>
        <v>法学</v>
      </c>
      <c r="I110" t="str">
        <f t="shared" si="265"/>
        <v>业余</v>
      </c>
      <c r="J110" t="str">
        <f t="shared" si="281"/>
        <v>闻渊</v>
      </c>
      <c r="K110" t="s">
        <v>32</v>
      </c>
      <c r="L110" t="s">
        <v>111</v>
      </c>
      <c r="M110" t="str">
        <f>"13826499205@qq.com"</f>
        <v>13826499205@qq.com</v>
      </c>
      <c r="Q110" t="str">
        <f t="shared" si="229"/>
        <v>未选择</v>
      </c>
      <c r="U110" t="str">
        <f t="shared" ref="U110:W110" si="290">"-"</f>
        <v>-</v>
      </c>
      <c r="V110" t="str">
        <f t="shared" si="290"/>
        <v>-</v>
      </c>
      <c r="W110" t="str">
        <f t="shared" si="290"/>
        <v>-</v>
      </c>
      <c r="X110" t="str">
        <f t="shared" si="178"/>
        <v>未填写</v>
      </c>
      <c r="Y110" t="str">
        <f t="shared" ref="Y110:AA110" si="291">"未上传"</f>
        <v>未上传</v>
      </c>
      <c r="Z110" t="str">
        <f t="shared" si="291"/>
        <v>未上传</v>
      </c>
      <c r="AA110" t="str">
        <f t="shared" si="291"/>
        <v>未上传</v>
      </c>
      <c r="AB110" t="str">
        <f t="shared" si="207"/>
        <v>非书面答辩</v>
      </c>
      <c r="AC110" t="str">
        <f t="shared" si="180"/>
        <v>学生未填写</v>
      </c>
      <c r="AD110" t="str">
        <f t="shared" si="181"/>
        <v>未填写</v>
      </c>
      <c r="AE110" t="str">
        <f t="shared" si="182"/>
        <v>未签名</v>
      </c>
    </row>
    <row r="111" spans="1:31">
      <c r="A111" t="str">
        <f>"黄智荣"</f>
        <v>黄智荣</v>
      </c>
      <c r="B111" t="str">
        <f>"2217211103019"</f>
        <v>2217211103019</v>
      </c>
      <c r="C111" t="s">
        <v>195</v>
      </c>
      <c r="D111" t="str">
        <f t="shared" si="279"/>
        <v>法学22086</v>
      </c>
      <c r="E111" t="str">
        <f t="shared" si="263"/>
        <v>2022</v>
      </c>
      <c r="F111" t="str">
        <f t="shared" si="175"/>
        <v>东莞电研院</v>
      </c>
      <c r="G111" t="str">
        <f t="shared" si="176"/>
        <v>专升本</v>
      </c>
      <c r="H111" t="str">
        <f t="shared" si="280"/>
        <v>法学</v>
      </c>
      <c r="I111" t="str">
        <f t="shared" si="265"/>
        <v>业余</v>
      </c>
      <c r="J111" t="str">
        <f>"吴波"</f>
        <v>吴波</v>
      </c>
      <c r="K111" t="s">
        <v>32</v>
      </c>
      <c r="L111" t="s">
        <v>108</v>
      </c>
      <c r="M111" t="s">
        <v>109</v>
      </c>
      <c r="Q111" t="str">
        <f t="shared" si="229"/>
        <v>未选择</v>
      </c>
      <c r="U111" t="str">
        <f t="shared" ref="U111:W111" si="292">"-"</f>
        <v>-</v>
      </c>
      <c r="V111" t="str">
        <f t="shared" si="292"/>
        <v>-</v>
      </c>
      <c r="W111" t="str">
        <f t="shared" si="292"/>
        <v>-</v>
      </c>
      <c r="X111" t="str">
        <f t="shared" si="178"/>
        <v>未填写</v>
      </c>
      <c r="Y111" t="str">
        <f t="shared" ref="Y111:AA111" si="293">"未上传"</f>
        <v>未上传</v>
      </c>
      <c r="Z111" t="str">
        <f t="shared" si="293"/>
        <v>未上传</v>
      </c>
      <c r="AA111" t="str">
        <f t="shared" si="293"/>
        <v>未上传</v>
      </c>
      <c r="AB111" t="str">
        <f t="shared" si="207"/>
        <v>非书面答辩</v>
      </c>
      <c r="AC111" t="str">
        <f t="shared" si="180"/>
        <v>学生未填写</v>
      </c>
      <c r="AD111" t="str">
        <f t="shared" si="181"/>
        <v>未填写</v>
      </c>
      <c r="AE111" t="str">
        <f t="shared" si="182"/>
        <v>未签名</v>
      </c>
    </row>
    <row r="112" hidden="1" spans="1:31">
      <c r="A112" t="str">
        <f>"庞锦强"</f>
        <v>庞锦强</v>
      </c>
      <c r="B112" t="str">
        <f>"2217211103036"</f>
        <v>2217211103036</v>
      </c>
      <c r="C112" t="s">
        <v>196</v>
      </c>
      <c r="D112" t="str">
        <f t="shared" si="279"/>
        <v>法学22086</v>
      </c>
      <c r="E112" t="str">
        <f t="shared" si="263"/>
        <v>2022</v>
      </c>
      <c r="F112" t="str">
        <f t="shared" si="175"/>
        <v>东莞电研院</v>
      </c>
      <c r="G112" t="str">
        <f t="shared" si="176"/>
        <v>专升本</v>
      </c>
      <c r="H112" t="str">
        <f t="shared" si="280"/>
        <v>法学</v>
      </c>
      <c r="I112" t="str">
        <f t="shared" si="265"/>
        <v>业余</v>
      </c>
      <c r="J112" t="str">
        <f>"吴丹"</f>
        <v>吴丹</v>
      </c>
      <c r="K112" t="s">
        <v>44</v>
      </c>
      <c r="L112" t="s">
        <v>197</v>
      </c>
      <c r="M112" t="s">
        <v>198</v>
      </c>
      <c r="Q112" t="str">
        <f t="shared" si="229"/>
        <v>未选择</v>
      </c>
      <c r="U112" t="str">
        <f t="shared" ref="U112:W112" si="294">"-"</f>
        <v>-</v>
      </c>
      <c r="V112" t="str">
        <f t="shared" si="294"/>
        <v>-</v>
      </c>
      <c r="W112" t="str">
        <f t="shared" si="294"/>
        <v>-</v>
      </c>
      <c r="X112" t="str">
        <f t="shared" si="178"/>
        <v>未填写</v>
      </c>
      <c r="Y112" t="str">
        <f t="shared" ref="Y112:AA112" si="295">"未上传"</f>
        <v>未上传</v>
      </c>
      <c r="Z112" t="str">
        <f t="shared" si="295"/>
        <v>未上传</v>
      </c>
      <c r="AA112" t="str">
        <f t="shared" si="295"/>
        <v>未上传</v>
      </c>
      <c r="AB112" t="str">
        <f t="shared" si="207"/>
        <v>非书面答辩</v>
      </c>
      <c r="AC112" t="str">
        <f t="shared" si="180"/>
        <v>学生未填写</v>
      </c>
      <c r="AD112" t="str">
        <f t="shared" si="181"/>
        <v>未填写</v>
      </c>
      <c r="AE112" t="str">
        <f t="shared" si="182"/>
        <v>未签名</v>
      </c>
    </row>
    <row r="113" hidden="1" spans="1:31">
      <c r="A113" t="str">
        <f>"沈展图"</f>
        <v>沈展图</v>
      </c>
      <c r="B113" t="str">
        <f>"2217211103039"</f>
        <v>2217211103039</v>
      </c>
      <c r="C113" t="s">
        <v>199</v>
      </c>
      <c r="D113" t="str">
        <f t="shared" si="279"/>
        <v>法学22086</v>
      </c>
      <c r="E113" t="str">
        <f t="shared" si="263"/>
        <v>2022</v>
      </c>
      <c r="F113" t="str">
        <f t="shared" si="175"/>
        <v>东莞电研院</v>
      </c>
      <c r="G113" t="str">
        <f t="shared" si="176"/>
        <v>专升本</v>
      </c>
      <c r="H113" t="str">
        <f t="shared" si="280"/>
        <v>法学</v>
      </c>
      <c r="I113" t="str">
        <f t="shared" si="265"/>
        <v>业余</v>
      </c>
      <c r="J113" t="str">
        <f>"吴丹"</f>
        <v>吴丹</v>
      </c>
      <c r="K113" t="s">
        <v>44</v>
      </c>
      <c r="L113" t="s">
        <v>197</v>
      </c>
      <c r="M113" t="s">
        <v>198</v>
      </c>
      <c r="Q113" t="str">
        <f t="shared" si="229"/>
        <v>未选择</v>
      </c>
      <c r="U113" t="str">
        <f t="shared" ref="U113:W113" si="296">"-"</f>
        <v>-</v>
      </c>
      <c r="V113" t="str">
        <f t="shared" si="296"/>
        <v>-</v>
      </c>
      <c r="W113" t="str">
        <f t="shared" si="296"/>
        <v>-</v>
      </c>
      <c r="X113" t="str">
        <f t="shared" si="178"/>
        <v>未填写</v>
      </c>
      <c r="Y113" t="str">
        <f t="shared" ref="Y113:AA113" si="297">"未上传"</f>
        <v>未上传</v>
      </c>
      <c r="Z113" t="str">
        <f t="shared" si="297"/>
        <v>未上传</v>
      </c>
      <c r="AA113" t="str">
        <f t="shared" si="297"/>
        <v>未上传</v>
      </c>
      <c r="AB113" t="str">
        <f t="shared" si="207"/>
        <v>非书面答辩</v>
      </c>
      <c r="AC113" t="str">
        <f t="shared" si="180"/>
        <v>学生未填写</v>
      </c>
      <c r="AD113" t="str">
        <f t="shared" si="181"/>
        <v>未填写</v>
      </c>
      <c r="AE113" t="str">
        <f t="shared" si="182"/>
        <v>未签名</v>
      </c>
    </row>
    <row r="114" spans="1:31">
      <c r="A114" t="str">
        <f>"谭耀华"</f>
        <v>谭耀华</v>
      </c>
      <c r="B114" t="str">
        <f>"2217211103041"</f>
        <v>2217211103041</v>
      </c>
      <c r="C114" t="s">
        <v>200</v>
      </c>
      <c r="D114" t="str">
        <f t="shared" si="279"/>
        <v>法学22086</v>
      </c>
      <c r="E114" t="str">
        <f t="shared" si="263"/>
        <v>2022</v>
      </c>
      <c r="F114" t="str">
        <f t="shared" si="175"/>
        <v>东莞电研院</v>
      </c>
      <c r="G114" t="str">
        <f t="shared" si="176"/>
        <v>专升本</v>
      </c>
      <c r="H114" t="str">
        <f t="shared" si="280"/>
        <v>法学</v>
      </c>
      <c r="I114" t="str">
        <f t="shared" si="265"/>
        <v>业余</v>
      </c>
      <c r="J114" t="str">
        <f t="shared" ref="J114:J118" si="298">"黄志豪"</f>
        <v>黄志豪</v>
      </c>
      <c r="K114" t="s">
        <v>32</v>
      </c>
      <c r="L114" t="s">
        <v>201</v>
      </c>
      <c r="M114" t="s">
        <v>202</v>
      </c>
      <c r="Q114" t="str">
        <f t="shared" si="229"/>
        <v>未选择</v>
      </c>
      <c r="U114" t="str">
        <f t="shared" ref="U114:W114" si="299">"-"</f>
        <v>-</v>
      </c>
      <c r="V114" t="str">
        <f t="shared" si="299"/>
        <v>-</v>
      </c>
      <c r="W114" t="str">
        <f t="shared" si="299"/>
        <v>-</v>
      </c>
      <c r="X114" t="str">
        <f t="shared" si="178"/>
        <v>未填写</v>
      </c>
      <c r="Y114" t="str">
        <f t="shared" ref="Y114:AA114" si="300">"未上传"</f>
        <v>未上传</v>
      </c>
      <c r="Z114" t="str">
        <f t="shared" si="300"/>
        <v>未上传</v>
      </c>
      <c r="AA114" t="str">
        <f t="shared" si="300"/>
        <v>未上传</v>
      </c>
      <c r="AB114" t="str">
        <f t="shared" si="207"/>
        <v>非书面答辩</v>
      </c>
      <c r="AC114" t="str">
        <f t="shared" si="180"/>
        <v>学生未填写</v>
      </c>
      <c r="AD114" t="str">
        <f t="shared" si="181"/>
        <v>未填写</v>
      </c>
      <c r="AE114" t="str">
        <f t="shared" si="182"/>
        <v>未签名</v>
      </c>
    </row>
    <row r="115" spans="1:31">
      <c r="A115" t="str">
        <f>"王钰珊"</f>
        <v>王钰珊</v>
      </c>
      <c r="B115" t="str">
        <f>"2217211103042"</f>
        <v>2217211103042</v>
      </c>
      <c r="C115" t="s">
        <v>203</v>
      </c>
      <c r="D115" t="str">
        <f t="shared" si="279"/>
        <v>法学22086</v>
      </c>
      <c r="E115" t="str">
        <f t="shared" si="263"/>
        <v>2022</v>
      </c>
      <c r="F115" t="str">
        <f t="shared" si="175"/>
        <v>东莞电研院</v>
      </c>
      <c r="G115" t="str">
        <f t="shared" si="176"/>
        <v>专升本</v>
      </c>
      <c r="H115" t="str">
        <f t="shared" si="280"/>
        <v>法学</v>
      </c>
      <c r="I115" t="str">
        <f t="shared" si="265"/>
        <v>业余</v>
      </c>
      <c r="J115" t="str">
        <f t="shared" si="298"/>
        <v>黄志豪</v>
      </c>
      <c r="K115" t="s">
        <v>32</v>
      </c>
      <c r="L115" t="s">
        <v>201</v>
      </c>
      <c r="M115" t="s">
        <v>202</v>
      </c>
      <c r="Q115" t="str">
        <f t="shared" si="229"/>
        <v>未选择</v>
      </c>
      <c r="U115" t="str">
        <f t="shared" ref="U115:W115" si="301">"-"</f>
        <v>-</v>
      </c>
      <c r="V115" t="str">
        <f t="shared" si="301"/>
        <v>-</v>
      </c>
      <c r="W115" t="str">
        <f t="shared" si="301"/>
        <v>-</v>
      </c>
      <c r="X115" t="str">
        <f t="shared" si="178"/>
        <v>未填写</v>
      </c>
      <c r="Y115" t="str">
        <f t="shared" ref="Y115:AA115" si="302">"未上传"</f>
        <v>未上传</v>
      </c>
      <c r="Z115" t="str">
        <f t="shared" si="302"/>
        <v>未上传</v>
      </c>
      <c r="AA115" t="str">
        <f t="shared" si="302"/>
        <v>未上传</v>
      </c>
      <c r="AB115" t="str">
        <f t="shared" si="207"/>
        <v>非书面答辩</v>
      </c>
      <c r="AC115" t="str">
        <f t="shared" si="180"/>
        <v>学生未填写</v>
      </c>
      <c r="AD115" t="str">
        <f t="shared" si="181"/>
        <v>未填写</v>
      </c>
      <c r="AE115" t="str">
        <f t="shared" si="182"/>
        <v>未签名</v>
      </c>
    </row>
    <row r="116" spans="1:31">
      <c r="A116" t="str">
        <f>"徐晓勤"</f>
        <v>徐晓勤</v>
      </c>
      <c r="B116" t="str">
        <f>"2217211103051"</f>
        <v>2217211103051</v>
      </c>
      <c r="C116" t="s">
        <v>204</v>
      </c>
      <c r="D116" t="str">
        <f t="shared" si="279"/>
        <v>法学22086</v>
      </c>
      <c r="E116" t="str">
        <f t="shared" si="263"/>
        <v>2022</v>
      </c>
      <c r="F116" t="str">
        <f t="shared" si="175"/>
        <v>东莞电研院</v>
      </c>
      <c r="G116" t="str">
        <f t="shared" si="176"/>
        <v>专升本</v>
      </c>
      <c r="H116" t="str">
        <f t="shared" si="280"/>
        <v>法学</v>
      </c>
      <c r="I116" t="str">
        <f t="shared" si="265"/>
        <v>业余</v>
      </c>
      <c r="J116" t="str">
        <f t="shared" si="298"/>
        <v>黄志豪</v>
      </c>
      <c r="K116" t="s">
        <v>32</v>
      </c>
      <c r="L116" t="s">
        <v>201</v>
      </c>
      <c r="M116" t="s">
        <v>202</v>
      </c>
      <c r="Q116" t="str">
        <f t="shared" si="229"/>
        <v>未选择</v>
      </c>
      <c r="U116" t="str">
        <f t="shared" ref="U116:W116" si="303">"-"</f>
        <v>-</v>
      </c>
      <c r="V116" t="str">
        <f t="shared" si="303"/>
        <v>-</v>
      </c>
      <c r="W116" t="str">
        <f t="shared" si="303"/>
        <v>-</v>
      </c>
      <c r="X116" t="str">
        <f t="shared" si="178"/>
        <v>未填写</v>
      </c>
      <c r="Y116" t="str">
        <f t="shared" ref="Y116:AA116" si="304">"未上传"</f>
        <v>未上传</v>
      </c>
      <c r="Z116" t="str">
        <f t="shared" si="304"/>
        <v>未上传</v>
      </c>
      <c r="AA116" t="str">
        <f t="shared" si="304"/>
        <v>未上传</v>
      </c>
      <c r="AB116" t="str">
        <f t="shared" si="207"/>
        <v>非书面答辩</v>
      </c>
      <c r="AC116" t="str">
        <f t="shared" si="180"/>
        <v>学生未填写</v>
      </c>
      <c r="AD116" t="str">
        <f t="shared" si="181"/>
        <v>未填写</v>
      </c>
      <c r="AE116" t="str">
        <f t="shared" si="182"/>
        <v>未签名</v>
      </c>
    </row>
    <row r="117" spans="1:31">
      <c r="A117" t="str">
        <f>"张境轩"</f>
        <v>张境轩</v>
      </c>
      <c r="B117" t="str">
        <f>"2217211103054"</f>
        <v>2217211103054</v>
      </c>
      <c r="C117" t="s">
        <v>205</v>
      </c>
      <c r="D117" t="str">
        <f t="shared" si="279"/>
        <v>法学22086</v>
      </c>
      <c r="E117" t="str">
        <f t="shared" si="263"/>
        <v>2022</v>
      </c>
      <c r="F117" t="str">
        <f t="shared" si="175"/>
        <v>东莞电研院</v>
      </c>
      <c r="G117" t="str">
        <f t="shared" si="176"/>
        <v>专升本</v>
      </c>
      <c r="H117" t="str">
        <f t="shared" si="280"/>
        <v>法学</v>
      </c>
      <c r="I117" t="str">
        <f t="shared" si="265"/>
        <v>业余</v>
      </c>
      <c r="J117" t="str">
        <f t="shared" si="298"/>
        <v>黄志豪</v>
      </c>
      <c r="K117" t="s">
        <v>32</v>
      </c>
      <c r="L117" t="s">
        <v>201</v>
      </c>
      <c r="M117" t="s">
        <v>202</v>
      </c>
      <c r="Q117" t="str">
        <f t="shared" si="229"/>
        <v>未选择</v>
      </c>
      <c r="U117" t="str">
        <f t="shared" ref="U117:W117" si="305">"-"</f>
        <v>-</v>
      </c>
      <c r="V117" t="str">
        <f t="shared" si="305"/>
        <v>-</v>
      </c>
      <c r="W117" t="str">
        <f t="shared" si="305"/>
        <v>-</v>
      </c>
      <c r="X117" t="str">
        <f t="shared" si="178"/>
        <v>未填写</v>
      </c>
      <c r="Y117" t="str">
        <f t="shared" ref="Y117:AA117" si="306">"未上传"</f>
        <v>未上传</v>
      </c>
      <c r="Z117" t="str">
        <f t="shared" si="306"/>
        <v>未上传</v>
      </c>
      <c r="AA117" t="str">
        <f t="shared" si="306"/>
        <v>未上传</v>
      </c>
      <c r="AB117" t="str">
        <f t="shared" si="207"/>
        <v>非书面答辩</v>
      </c>
      <c r="AC117" t="str">
        <f t="shared" si="180"/>
        <v>学生未填写</v>
      </c>
      <c r="AD117" t="str">
        <f t="shared" si="181"/>
        <v>未填写</v>
      </c>
      <c r="AE117" t="str">
        <f t="shared" si="182"/>
        <v>未签名</v>
      </c>
    </row>
    <row r="118" spans="1:31">
      <c r="A118" t="str">
        <f>"郑国锋"</f>
        <v>郑国锋</v>
      </c>
      <c r="B118" t="str">
        <f>"2217211103058"</f>
        <v>2217211103058</v>
      </c>
      <c r="C118" t="s">
        <v>206</v>
      </c>
      <c r="D118" t="str">
        <f t="shared" si="279"/>
        <v>法学22086</v>
      </c>
      <c r="E118" t="str">
        <f t="shared" si="263"/>
        <v>2022</v>
      </c>
      <c r="F118" t="str">
        <f t="shared" si="175"/>
        <v>东莞电研院</v>
      </c>
      <c r="G118" t="str">
        <f t="shared" si="176"/>
        <v>专升本</v>
      </c>
      <c r="H118" t="str">
        <f t="shared" si="280"/>
        <v>法学</v>
      </c>
      <c r="I118" t="str">
        <f t="shared" si="265"/>
        <v>业余</v>
      </c>
      <c r="J118" t="str">
        <f t="shared" si="298"/>
        <v>黄志豪</v>
      </c>
      <c r="K118" t="s">
        <v>32</v>
      </c>
      <c r="L118" t="s">
        <v>201</v>
      </c>
      <c r="M118" t="s">
        <v>202</v>
      </c>
      <c r="Q118" t="str">
        <f t="shared" si="229"/>
        <v>未选择</v>
      </c>
      <c r="U118" t="str">
        <f t="shared" ref="U118:W118" si="307">"-"</f>
        <v>-</v>
      </c>
      <c r="V118" t="str">
        <f t="shared" si="307"/>
        <v>-</v>
      </c>
      <c r="W118" t="str">
        <f t="shared" si="307"/>
        <v>-</v>
      </c>
      <c r="X118" t="str">
        <f t="shared" si="178"/>
        <v>未填写</v>
      </c>
      <c r="Y118" t="str">
        <f t="shared" ref="Y118:AA118" si="308">"未上传"</f>
        <v>未上传</v>
      </c>
      <c r="Z118" t="str">
        <f t="shared" si="308"/>
        <v>未上传</v>
      </c>
      <c r="AA118" t="str">
        <f t="shared" si="308"/>
        <v>未上传</v>
      </c>
      <c r="AB118" t="str">
        <f t="shared" si="207"/>
        <v>非书面答辩</v>
      </c>
      <c r="AC118" t="str">
        <f t="shared" si="180"/>
        <v>学生未填写</v>
      </c>
      <c r="AD118" t="str">
        <f t="shared" si="181"/>
        <v>未填写</v>
      </c>
      <c r="AE118" t="str">
        <f t="shared" si="182"/>
        <v>未签名</v>
      </c>
    </row>
    <row r="119" spans="1:31">
      <c r="A119" t="str">
        <f>"高亮杰"</f>
        <v>高亮杰</v>
      </c>
      <c r="B119" t="str">
        <f>"2217211104001"</f>
        <v>2217211104001</v>
      </c>
      <c r="C119" t="s">
        <v>207</v>
      </c>
      <c r="D119" t="str">
        <f>"英语22310"</f>
        <v>英语22310</v>
      </c>
      <c r="E119" t="str">
        <f t="shared" si="263"/>
        <v>2022</v>
      </c>
      <c r="F119" t="str">
        <f t="shared" si="175"/>
        <v>东莞电研院</v>
      </c>
      <c r="G119" t="str">
        <f t="shared" si="176"/>
        <v>专升本</v>
      </c>
      <c r="H119" t="str">
        <f>"英语"</f>
        <v>英语</v>
      </c>
      <c r="I119" t="str">
        <f t="shared" si="265"/>
        <v>业余</v>
      </c>
      <c r="J119" t="str">
        <f>"荣彩虹"</f>
        <v>荣彩虹</v>
      </c>
      <c r="K119" t="s">
        <v>32</v>
      </c>
      <c r="L119" t="s">
        <v>33</v>
      </c>
      <c r="M119" t="s">
        <v>34</v>
      </c>
      <c r="Q119" t="str">
        <f t="shared" si="229"/>
        <v>未选择</v>
      </c>
      <c r="U119" t="str">
        <f t="shared" ref="U119:W119" si="309">"-"</f>
        <v>-</v>
      </c>
      <c r="V119" t="str">
        <f t="shared" si="309"/>
        <v>-</v>
      </c>
      <c r="W119" t="str">
        <f t="shared" si="309"/>
        <v>-</v>
      </c>
      <c r="X119" t="str">
        <f t="shared" si="178"/>
        <v>未填写</v>
      </c>
      <c r="Y119" t="str">
        <f t="shared" ref="Y119:AA119" si="310">"未上传"</f>
        <v>未上传</v>
      </c>
      <c r="Z119" t="str">
        <f t="shared" si="310"/>
        <v>未上传</v>
      </c>
      <c r="AA119" t="str">
        <f t="shared" si="310"/>
        <v>未上传</v>
      </c>
      <c r="AB119" t="str">
        <f t="shared" si="207"/>
        <v>非书面答辩</v>
      </c>
      <c r="AC119" t="str">
        <f t="shared" si="180"/>
        <v>学生未填写</v>
      </c>
      <c r="AD119" t="str">
        <f t="shared" si="181"/>
        <v>未填写</v>
      </c>
      <c r="AE119" t="str">
        <f t="shared" si="182"/>
        <v>未签名</v>
      </c>
    </row>
    <row r="120" spans="1:31">
      <c r="A120" t="str">
        <f>"黄祺竣"</f>
        <v>黄祺竣</v>
      </c>
      <c r="B120" t="str">
        <f>"2217211104002"</f>
        <v>2217211104002</v>
      </c>
      <c r="C120" t="s">
        <v>208</v>
      </c>
      <c r="D120" t="str">
        <f>"英语22310"</f>
        <v>英语22310</v>
      </c>
      <c r="E120" t="str">
        <f t="shared" si="263"/>
        <v>2022</v>
      </c>
      <c r="F120" t="str">
        <f t="shared" si="175"/>
        <v>东莞电研院</v>
      </c>
      <c r="G120" t="str">
        <f t="shared" si="176"/>
        <v>专升本</v>
      </c>
      <c r="H120" t="str">
        <f>"英语"</f>
        <v>英语</v>
      </c>
      <c r="I120" t="str">
        <f t="shared" si="265"/>
        <v>业余</v>
      </c>
      <c r="J120" t="str">
        <f>"荣彩虹"</f>
        <v>荣彩虹</v>
      </c>
      <c r="K120" t="s">
        <v>32</v>
      </c>
      <c r="L120" t="s">
        <v>33</v>
      </c>
      <c r="M120" t="s">
        <v>34</v>
      </c>
      <c r="Q120" t="str">
        <f t="shared" si="229"/>
        <v>未选择</v>
      </c>
      <c r="U120" t="str">
        <f t="shared" ref="U120:W120" si="311">"-"</f>
        <v>-</v>
      </c>
      <c r="V120" t="str">
        <f t="shared" si="311"/>
        <v>-</v>
      </c>
      <c r="W120" t="str">
        <f t="shared" si="311"/>
        <v>-</v>
      </c>
      <c r="X120" t="str">
        <f t="shared" si="178"/>
        <v>未填写</v>
      </c>
      <c r="Y120" t="str">
        <f t="shared" ref="Y120:AA120" si="312">"未上传"</f>
        <v>未上传</v>
      </c>
      <c r="Z120" t="str">
        <f t="shared" si="312"/>
        <v>未上传</v>
      </c>
      <c r="AA120" t="str">
        <f t="shared" si="312"/>
        <v>未上传</v>
      </c>
      <c r="AB120" t="str">
        <f t="shared" si="207"/>
        <v>非书面答辩</v>
      </c>
      <c r="AC120" t="str">
        <f t="shared" si="180"/>
        <v>学生未填写</v>
      </c>
      <c r="AD120" t="str">
        <f t="shared" si="181"/>
        <v>未填写</v>
      </c>
      <c r="AE120" t="str">
        <f t="shared" si="182"/>
        <v>未签名</v>
      </c>
    </row>
    <row r="121" hidden="1" spans="1:31">
      <c r="A121" t="str">
        <f>"罗江英"</f>
        <v>罗江英</v>
      </c>
      <c r="B121" t="str">
        <f>"2217211113001"</f>
        <v>2217211113001</v>
      </c>
      <c r="C121" t="s">
        <v>209</v>
      </c>
      <c r="D121" t="str">
        <f>"物流22280"</f>
        <v>物流22280</v>
      </c>
      <c r="E121" t="str">
        <f t="shared" si="263"/>
        <v>2022</v>
      </c>
      <c r="F121" t="str">
        <f t="shared" si="175"/>
        <v>东莞电研院</v>
      </c>
      <c r="G121" t="str">
        <f t="shared" si="176"/>
        <v>专升本</v>
      </c>
      <c r="H121" t="str">
        <f>"物流管理"</f>
        <v>物流管理</v>
      </c>
      <c r="I121" t="str">
        <f t="shared" si="265"/>
        <v>业余</v>
      </c>
      <c r="J121" t="str">
        <f>"赖雪健"</f>
        <v>赖雪健</v>
      </c>
      <c r="K121" t="s">
        <v>44</v>
      </c>
      <c r="L121" t="s">
        <v>57</v>
      </c>
      <c r="M121" t="s">
        <v>58</v>
      </c>
      <c r="Q121" t="str">
        <f t="shared" si="229"/>
        <v>未选择</v>
      </c>
      <c r="U121" t="str">
        <f t="shared" ref="U121:W121" si="313">"-"</f>
        <v>-</v>
      </c>
      <c r="V121" t="str">
        <f t="shared" si="313"/>
        <v>-</v>
      </c>
      <c r="W121" t="str">
        <f t="shared" si="313"/>
        <v>-</v>
      </c>
      <c r="X121" t="str">
        <f t="shared" si="178"/>
        <v>未填写</v>
      </c>
      <c r="Y121" t="str">
        <f t="shared" ref="Y121:AA121" si="314">"未上传"</f>
        <v>未上传</v>
      </c>
      <c r="Z121" t="str">
        <f t="shared" si="314"/>
        <v>未上传</v>
      </c>
      <c r="AA121" t="str">
        <f t="shared" si="314"/>
        <v>未上传</v>
      </c>
      <c r="AB121" t="str">
        <f t="shared" si="207"/>
        <v>非书面答辩</v>
      </c>
      <c r="AC121" t="str">
        <f t="shared" si="180"/>
        <v>学生未填写</v>
      </c>
      <c r="AD121" t="str">
        <f t="shared" si="181"/>
        <v>未填写</v>
      </c>
      <c r="AE121" t="str">
        <f t="shared" si="182"/>
        <v>未签名</v>
      </c>
    </row>
    <row r="122" hidden="1" spans="1:31">
      <c r="A122" t="str">
        <f>"甘广俊"</f>
        <v>甘广俊</v>
      </c>
      <c r="B122" t="str">
        <f>"2217211115002"</f>
        <v>2217211115002</v>
      </c>
      <c r="C122" t="s">
        <v>210</v>
      </c>
      <c r="D122" t="str">
        <f t="shared" ref="D122:D128" si="315">"视觉传达22263"</f>
        <v>视觉传达22263</v>
      </c>
      <c r="E122" t="str">
        <f t="shared" si="263"/>
        <v>2022</v>
      </c>
      <c r="F122" t="str">
        <f t="shared" si="175"/>
        <v>东莞电研院</v>
      </c>
      <c r="G122" t="str">
        <f t="shared" si="176"/>
        <v>专升本</v>
      </c>
      <c r="H122" t="str">
        <f t="shared" ref="H122:H128" si="316">"视觉传达设计"</f>
        <v>视觉传达设计</v>
      </c>
      <c r="I122" t="str">
        <f t="shared" si="265"/>
        <v>业余</v>
      </c>
      <c r="J122" t="str">
        <f t="shared" ref="J122:J124" si="317">"徐蓉"</f>
        <v>徐蓉</v>
      </c>
      <c r="K122" t="s">
        <v>44</v>
      </c>
      <c r="L122" t="s">
        <v>117</v>
      </c>
      <c r="M122" t="s">
        <v>118</v>
      </c>
      <c r="Q122" t="str">
        <f t="shared" si="229"/>
        <v>未选择</v>
      </c>
      <c r="U122" t="str">
        <f t="shared" ref="U122:W122" si="318">"-"</f>
        <v>-</v>
      </c>
      <c r="V122" t="str">
        <f t="shared" si="318"/>
        <v>-</v>
      </c>
      <c r="W122" t="str">
        <f t="shared" si="318"/>
        <v>-</v>
      </c>
      <c r="X122" t="str">
        <f t="shared" si="178"/>
        <v>未填写</v>
      </c>
      <c r="Y122" t="str">
        <f t="shared" ref="Y122:AA122" si="319">"未上传"</f>
        <v>未上传</v>
      </c>
      <c r="Z122" t="str">
        <f t="shared" si="319"/>
        <v>未上传</v>
      </c>
      <c r="AA122" t="str">
        <f t="shared" si="319"/>
        <v>未上传</v>
      </c>
      <c r="AB122" t="str">
        <f t="shared" si="207"/>
        <v>非书面答辩</v>
      </c>
      <c r="AC122" t="str">
        <f t="shared" si="180"/>
        <v>学生未填写</v>
      </c>
      <c r="AD122" t="str">
        <f t="shared" si="181"/>
        <v>未填写</v>
      </c>
      <c r="AE122" t="str">
        <f t="shared" si="182"/>
        <v>未签名</v>
      </c>
    </row>
    <row r="123" hidden="1" spans="1:31">
      <c r="A123" t="str">
        <f>"高淑贤"</f>
        <v>高淑贤</v>
      </c>
      <c r="B123" t="str">
        <f>"2217211115003"</f>
        <v>2217211115003</v>
      </c>
      <c r="C123" t="s">
        <v>211</v>
      </c>
      <c r="D123" t="str">
        <f t="shared" si="315"/>
        <v>视觉传达22263</v>
      </c>
      <c r="E123" t="str">
        <f t="shared" si="263"/>
        <v>2022</v>
      </c>
      <c r="F123" t="str">
        <f t="shared" si="175"/>
        <v>东莞电研院</v>
      </c>
      <c r="G123" t="str">
        <f t="shared" si="176"/>
        <v>专升本</v>
      </c>
      <c r="H123" t="str">
        <f t="shared" si="316"/>
        <v>视觉传达设计</v>
      </c>
      <c r="I123" t="str">
        <f t="shared" si="265"/>
        <v>业余</v>
      </c>
      <c r="J123" t="str">
        <f t="shared" si="317"/>
        <v>徐蓉</v>
      </c>
      <c r="K123" t="s">
        <v>44</v>
      </c>
      <c r="L123" t="s">
        <v>117</v>
      </c>
      <c r="M123" t="s">
        <v>118</v>
      </c>
      <c r="Q123" t="str">
        <f t="shared" si="229"/>
        <v>未选择</v>
      </c>
      <c r="U123" t="str">
        <f t="shared" ref="U123:W123" si="320">"-"</f>
        <v>-</v>
      </c>
      <c r="V123" t="str">
        <f t="shared" si="320"/>
        <v>-</v>
      </c>
      <c r="W123" t="str">
        <f t="shared" si="320"/>
        <v>-</v>
      </c>
      <c r="X123" t="str">
        <f t="shared" si="178"/>
        <v>未填写</v>
      </c>
      <c r="Y123" t="str">
        <f t="shared" ref="Y123:AA123" si="321">"未上传"</f>
        <v>未上传</v>
      </c>
      <c r="Z123" t="str">
        <f t="shared" si="321"/>
        <v>未上传</v>
      </c>
      <c r="AA123" t="str">
        <f t="shared" si="321"/>
        <v>未上传</v>
      </c>
      <c r="AB123" t="str">
        <f t="shared" si="207"/>
        <v>非书面答辩</v>
      </c>
      <c r="AC123" t="str">
        <f t="shared" si="180"/>
        <v>学生未填写</v>
      </c>
      <c r="AD123" t="str">
        <f t="shared" si="181"/>
        <v>未填写</v>
      </c>
      <c r="AE123" t="str">
        <f t="shared" si="182"/>
        <v>未签名</v>
      </c>
    </row>
    <row r="124" hidden="1" spans="1:31">
      <c r="A124" t="str">
        <f>"胡剑辉"</f>
        <v>胡剑辉</v>
      </c>
      <c r="B124" t="str">
        <f>"2217211115004"</f>
        <v>2217211115004</v>
      </c>
      <c r="C124" t="s">
        <v>212</v>
      </c>
      <c r="D124" t="str">
        <f t="shared" si="315"/>
        <v>视觉传达22263</v>
      </c>
      <c r="E124" t="str">
        <f t="shared" si="263"/>
        <v>2022</v>
      </c>
      <c r="F124" t="str">
        <f t="shared" si="175"/>
        <v>东莞电研院</v>
      </c>
      <c r="G124" t="str">
        <f t="shared" si="176"/>
        <v>专升本</v>
      </c>
      <c r="H124" t="str">
        <f t="shared" si="316"/>
        <v>视觉传达设计</v>
      </c>
      <c r="I124" t="str">
        <f t="shared" si="265"/>
        <v>业余</v>
      </c>
      <c r="J124" t="str">
        <f t="shared" si="317"/>
        <v>徐蓉</v>
      </c>
      <c r="K124" t="s">
        <v>44</v>
      </c>
      <c r="L124" t="s">
        <v>117</v>
      </c>
      <c r="M124" t="s">
        <v>118</v>
      </c>
      <c r="Q124" t="str">
        <f t="shared" si="229"/>
        <v>未选择</v>
      </c>
      <c r="U124" t="str">
        <f t="shared" ref="U124:W124" si="322">"-"</f>
        <v>-</v>
      </c>
      <c r="V124" t="str">
        <f t="shared" si="322"/>
        <v>-</v>
      </c>
      <c r="W124" t="str">
        <f t="shared" si="322"/>
        <v>-</v>
      </c>
      <c r="X124" t="str">
        <f t="shared" si="178"/>
        <v>未填写</v>
      </c>
      <c r="Y124" t="str">
        <f t="shared" ref="Y124:AA124" si="323">"未上传"</f>
        <v>未上传</v>
      </c>
      <c r="Z124" t="str">
        <f t="shared" si="323"/>
        <v>未上传</v>
      </c>
      <c r="AA124" t="str">
        <f t="shared" si="323"/>
        <v>未上传</v>
      </c>
      <c r="AB124" t="str">
        <f t="shared" si="207"/>
        <v>非书面答辩</v>
      </c>
      <c r="AC124" t="str">
        <f t="shared" si="180"/>
        <v>学生未填写</v>
      </c>
      <c r="AD124" t="str">
        <f t="shared" si="181"/>
        <v>未填写</v>
      </c>
      <c r="AE124" t="str">
        <f t="shared" si="182"/>
        <v>未签名</v>
      </c>
    </row>
    <row r="125" hidden="1" spans="1:31">
      <c r="A125" t="str">
        <f>"黄荷花"</f>
        <v>黄荷花</v>
      </c>
      <c r="B125" t="str">
        <f>"2217211115007"</f>
        <v>2217211115007</v>
      </c>
      <c r="C125" t="s">
        <v>213</v>
      </c>
      <c r="D125" t="str">
        <f t="shared" si="315"/>
        <v>视觉传达22263</v>
      </c>
      <c r="E125" t="str">
        <f t="shared" si="263"/>
        <v>2022</v>
      </c>
      <c r="F125" t="str">
        <f t="shared" si="175"/>
        <v>东莞电研院</v>
      </c>
      <c r="G125" t="str">
        <f t="shared" si="176"/>
        <v>专升本</v>
      </c>
      <c r="H125" t="str">
        <f t="shared" si="316"/>
        <v>视觉传达设计</v>
      </c>
      <c r="I125" t="str">
        <f t="shared" si="265"/>
        <v>业余</v>
      </c>
      <c r="J125" t="str">
        <f t="shared" ref="J125:J128" si="324">"程可辉"</f>
        <v>程可辉</v>
      </c>
      <c r="K125" t="s">
        <v>44</v>
      </c>
      <c r="L125" t="s">
        <v>214</v>
      </c>
      <c r="M125" t="s">
        <v>215</v>
      </c>
      <c r="Q125" t="str">
        <f t="shared" si="229"/>
        <v>未选择</v>
      </c>
      <c r="U125" t="str">
        <f t="shared" ref="U125:W125" si="325">"-"</f>
        <v>-</v>
      </c>
      <c r="V125" t="str">
        <f t="shared" si="325"/>
        <v>-</v>
      </c>
      <c r="W125" t="str">
        <f t="shared" si="325"/>
        <v>-</v>
      </c>
      <c r="X125" t="str">
        <f t="shared" si="178"/>
        <v>未填写</v>
      </c>
      <c r="Y125" t="str">
        <f t="shared" ref="Y125:AA125" si="326">"未上传"</f>
        <v>未上传</v>
      </c>
      <c r="Z125" t="str">
        <f t="shared" si="326"/>
        <v>未上传</v>
      </c>
      <c r="AA125" t="str">
        <f t="shared" si="326"/>
        <v>未上传</v>
      </c>
      <c r="AB125" t="str">
        <f t="shared" si="207"/>
        <v>非书面答辩</v>
      </c>
      <c r="AC125" t="str">
        <f t="shared" si="180"/>
        <v>学生未填写</v>
      </c>
      <c r="AD125" t="str">
        <f t="shared" si="181"/>
        <v>未填写</v>
      </c>
      <c r="AE125" t="str">
        <f t="shared" si="182"/>
        <v>未签名</v>
      </c>
    </row>
    <row r="126" hidden="1" spans="1:31">
      <c r="A126" t="str">
        <f>"黄文昌"</f>
        <v>黄文昌</v>
      </c>
      <c r="B126" t="str">
        <f>"2217211115008"</f>
        <v>2217211115008</v>
      </c>
      <c r="C126" t="s">
        <v>216</v>
      </c>
      <c r="D126" t="str">
        <f t="shared" si="315"/>
        <v>视觉传达22263</v>
      </c>
      <c r="E126" t="str">
        <f t="shared" si="263"/>
        <v>2022</v>
      </c>
      <c r="F126" t="str">
        <f t="shared" si="175"/>
        <v>东莞电研院</v>
      </c>
      <c r="G126" t="str">
        <f t="shared" si="176"/>
        <v>专升本</v>
      </c>
      <c r="H126" t="str">
        <f t="shared" si="316"/>
        <v>视觉传达设计</v>
      </c>
      <c r="I126" t="str">
        <f t="shared" si="265"/>
        <v>业余</v>
      </c>
      <c r="J126" t="str">
        <f t="shared" si="324"/>
        <v>程可辉</v>
      </c>
      <c r="K126" t="s">
        <v>44</v>
      </c>
      <c r="L126" t="s">
        <v>214</v>
      </c>
      <c r="M126" t="s">
        <v>215</v>
      </c>
      <c r="Q126" t="str">
        <f t="shared" si="229"/>
        <v>未选择</v>
      </c>
      <c r="U126" t="str">
        <f t="shared" ref="U126:W126" si="327">"-"</f>
        <v>-</v>
      </c>
      <c r="V126" t="str">
        <f t="shared" si="327"/>
        <v>-</v>
      </c>
      <c r="W126" t="str">
        <f t="shared" si="327"/>
        <v>-</v>
      </c>
      <c r="X126" t="str">
        <f t="shared" si="178"/>
        <v>未填写</v>
      </c>
      <c r="Y126" t="str">
        <f t="shared" ref="Y126:AA126" si="328">"未上传"</f>
        <v>未上传</v>
      </c>
      <c r="Z126" t="str">
        <f t="shared" si="328"/>
        <v>未上传</v>
      </c>
      <c r="AA126" t="str">
        <f t="shared" si="328"/>
        <v>未上传</v>
      </c>
      <c r="AB126" t="str">
        <f t="shared" si="207"/>
        <v>非书面答辩</v>
      </c>
      <c r="AC126" t="str">
        <f t="shared" si="180"/>
        <v>学生未填写</v>
      </c>
      <c r="AD126" t="str">
        <f t="shared" si="181"/>
        <v>未填写</v>
      </c>
      <c r="AE126" t="str">
        <f t="shared" si="182"/>
        <v>未签名</v>
      </c>
    </row>
    <row r="127" hidden="1" spans="1:31">
      <c r="A127" t="str">
        <f>"刘衍盛"</f>
        <v>刘衍盛</v>
      </c>
      <c r="B127" t="str">
        <f>"2217211115015"</f>
        <v>2217211115015</v>
      </c>
      <c r="C127" t="s">
        <v>217</v>
      </c>
      <c r="D127" t="str">
        <f t="shared" si="315"/>
        <v>视觉传达22263</v>
      </c>
      <c r="E127" t="str">
        <f t="shared" si="263"/>
        <v>2022</v>
      </c>
      <c r="F127" t="str">
        <f t="shared" si="175"/>
        <v>东莞电研院</v>
      </c>
      <c r="G127" t="str">
        <f t="shared" si="176"/>
        <v>专升本</v>
      </c>
      <c r="H127" t="str">
        <f t="shared" si="316"/>
        <v>视觉传达设计</v>
      </c>
      <c r="I127" t="str">
        <f t="shared" si="265"/>
        <v>业余</v>
      </c>
      <c r="J127" t="str">
        <f t="shared" si="324"/>
        <v>程可辉</v>
      </c>
      <c r="K127" t="s">
        <v>44</v>
      </c>
      <c r="L127" t="s">
        <v>214</v>
      </c>
      <c r="M127" t="s">
        <v>215</v>
      </c>
      <c r="Q127" t="str">
        <f t="shared" si="229"/>
        <v>未选择</v>
      </c>
      <c r="U127" t="str">
        <f t="shared" ref="U127:W127" si="329">"-"</f>
        <v>-</v>
      </c>
      <c r="V127" t="str">
        <f t="shared" si="329"/>
        <v>-</v>
      </c>
      <c r="W127" t="str">
        <f t="shared" si="329"/>
        <v>-</v>
      </c>
      <c r="X127" t="str">
        <f t="shared" si="178"/>
        <v>未填写</v>
      </c>
      <c r="Y127" t="str">
        <f t="shared" ref="Y127:AA127" si="330">"未上传"</f>
        <v>未上传</v>
      </c>
      <c r="Z127" t="str">
        <f t="shared" si="330"/>
        <v>未上传</v>
      </c>
      <c r="AA127" t="str">
        <f t="shared" si="330"/>
        <v>未上传</v>
      </c>
      <c r="AB127" t="str">
        <f t="shared" si="207"/>
        <v>非书面答辩</v>
      </c>
      <c r="AC127" t="str">
        <f t="shared" si="180"/>
        <v>学生未填写</v>
      </c>
      <c r="AD127" t="str">
        <f t="shared" si="181"/>
        <v>未填写</v>
      </c>
      <c r="AE127" t="str">
        <f t="shared" si="182"/>
        <v>未签名</v>
      </c>
    </row>
    <row r="128" hidden="1" spans="1:31">
      <c r="A128" t="str">
        <f>"张澜鑫"</f>
        <v>张澜鑫</v>
      </c>
      <c r="B128" t="str">
        <f>"2217211115020"</f>
        <v>2217211115020</v>
      </c>
      <c r="C128" t="s">
        <v>218</v>
      </c>
      <c r="D128" t="str">
        <f t="shared" si="315"/>
        <v>视觉传达22263</v>
      </c>
      <c r="E128" t="str">
        <f t="shared" si="263"/>
        <v>2022</v>
      </c>
      <c r="F128" t="str">
        <f t="shared" si="175"/>
        <v>东莞电研院</v>
      </c>
      <c r="G128" t="str">
        <f t="shared" si="176"/>
        <v>专升本</v>
      </c>
      <c r="H128" t="str">
        <f t="shared" si="316"/>
        <v>视觉传达设计</v>
      </c>
      <c r="I128" t="str">
        <f t="shared" si="265"/>
        <v>业余</v>
      </c>
      <c r="J128" t="str">
        <f t="shared" si="324"/>
        <v>程可辉</v>
      </c>
      <c r="K128" t="s">
        <v>44</v>
      </c>
      <c r="L128" t="s">
        <v>214</v>
      </c>
      <c r="M128" t="s">
        <v>215</v>
      </c>
      <c r="Q128" t="str">
        <f t="shared" si="229"/>
        <v>未选择</v>
      </c>
      <c r="U128" t="str">
        <f t="shared" ref="U128:W128" si="331">"-"</f>
        <v>-</v>
      </c>
      <c r="V128" t="str">
        <f t="shared" si="331"/>
        <v>-</v>
      </c>
      <c r="W128" t="str">
        <f t="shared" si="331"/>
        <v>-</v>
      </c>
      <c r="X128" t="str">
        <f t="shared" si="178"/>
        <v>未填写</v>
      </c>
      <c r="Y128" t="str">
        <f t="shared" ref="Y128:AA128" si="332">"未上传"</f>
        <v>未上传</v>
      </c>
      <c r="Z128" t="str">
        <f t="shared" si="332"/>
        <v>未上传</v>
      </c>
      <c r="AA128" t="str">
        <f t="shared" si="332"/>
        <v>未上传</v>
      </c>
      <c r="AB128" t="str">
        <f t="shared" si="207"/>
        <v>非书面答辩</v>
      </c>
      <c r="AC128" t="str">
        <f t="shared" si="180"/>
        <v>学生未填写</v>
      </c>
      <c r="AD128" t="str">
        <f t="shared" si="181"/>
        <v>未填写</v>
      </c>
      <c r="AE128" t="str">
        <f t="shared" si="182"/>
        <v>未签名</v>
      </c>
    </row>
    <row r="129" spans="1:31">
      <c r="A129" t="str">
        <f>"高雪莹"</f>
        <v>高雪莹</v>
      </c>
      <c r="B129" t="str">
        <f>"2217212116006"</f>
        <v>2217212116006</v>
      </c>
      <c r="C129" t="s">
        <v>219</v>
      </c>
      <c r="D129" t="str">
        <f t="shared" ref="D129:D131" si="333">"财管22004"</f>
        <v>财管22004</v>
      </c>
      <c r="E129" t="str">
        <f t="shared" si="263"/>
        <v>2022</v>
      </c>
      <c r="F129" t="str">
        <f t="shared" si="175"/>
        <v>东莞电研院</v>
      </c>
      <c r="G129" t="str">
        <f t="shared" si="176"/>
        <v>专升本</v>
      </c>
      <c r="H129" t="str">
        <f t="shared" ref="H129:H131" si="334">"财务管理"</f>
        <v>财务管理</v>
      </c>
      <c r="I129" t="str">
        <f t="shared" ref="I129:I181" si="335">"函授"</f>
        <v>函授</v>
      </c>
      <c r="J129" t="str">
        <f>"吕文娟"</f>
        <v>吕文娟</v>
      </c>
      <c r="K129" t="s">
        <v>32</v>
      </c>
      <c r="L129" t="s">
        <v>99</v>
      </c>
      <c r="M129" t="s">
        <v>100</v>
      </c>
      <c r="Q129" t="str">
        <f t="shared" si="229"/>
        <v>未选择</v>
      </c>
      <c r="U129" t="str">
        <f t="shared" ref="U129:W129" si="336">"-"</f>
        <v>-</v>
      </c>
      <c r="V129" t="str">
        <f t="shared" si="336"/>
        <v>-</v>
      </c>
      <c r="W129" t="str">
        <f t="shared" si="336"/>
        <v>-</v>
      </c>
      <c r="X129" t="str">
        <f t="shared" si="178"/>
        <v>未填写</v>
      </c>
      <c r="Y129" t="str">
        <f t="shared" ref="Y129:AA129" si="337">"未上传"</f>
        <v>未上传</v>
      </c>
      <c r="Z129" t="str">
        <f t="shared" si="337"/>
        <v>未上传</v>
      </c>
      <c r="AA129" t="str">
        <f t="shared" si="337"/>
        <v>未上传</v>
      </c>
      <c r="AB129" t="str">
        <f t="shared" si="207"/>
        <v>非书面答辩</v>
      </c>
      <c r="AC129" t="str">
        <f t="shared" si="180"/>
        <v>学生未填写</v>
      </c>
      <c r="AD129" t="str">
        <f t="shared" si="181"/>
        <v>未填写</v>
      </c>
      <c r="AE129" t="str">
        <f t="shared" si="182"/>
        <v>未签名</v>
      </c>
    </row>
    <row r="130" spans="1:31">
      <c r="A130" t="str">
        <f>"廖志龙"</f>
        <v>廖志龙</v>
      </c>
      <c r="B130" t="str">
        <f>"2217212116012"</f>
        <v>2217212116012</v>
      </c>
      <c r="C130" t="s">
        <v>220</v>
      </c>
      <c r="D130" t="str">
        <f t="shared" si="333"/>
        <v>财管22004</v>
      </c>
      <c r="E130" t="str">
        <f t="shared" si="263"/>
        <v>2022</v>
      </c>
      <c r="F130" t="str">
        <f t="shared" ref="F130:F193" si="338">"东莞电研院"</f>
        <v>东莞电研院</v>
      </c>
      <c r="G130" t="str">
        <f t="shared" ref="G130:G193" si="339">"专升本"</f>
        <v>专升本</v>
      </c>
      <c r="H130" t="str">
        <f t="shared" si="334"/>
        <v>财务管理</v>
      </c>
      <c r="I130" t="str">
        <f t="shared" si="335"/>
        <v>函授</v>
      </c>
      <c r="J130" t="str">
        <f>"吕文娟"</f>
        <v>吕文娟</v>
      </c>
      <c r="K130" t="s">
        <v>32</v>
      </c>
      <c r="L130" t="s">
        <v>99</v>
      </c>
      <c r="M130" t="s">
        <v>100</v>
      </c>
      <c r="Q130" t="str">
        <f t="shared" si="229"/>
        <v>未选择</v>
      </c>
      <c r="U130" t="str">
        <f t="shared" ref="U130:W130" si="340">"-"</f>
        <v>-</v>
      </c>
      <c r="V130" t="str">
        <f t="shared" si="340"/>
        <v>-</v>
      </c>
      <c r="W130" t="str">
        <f t="shared" si="340"/>
        <v>-</v>
      </c>
      <c r="X130" t="str">
        <f t="shared" ref="X130:X193" si="341">"未填写"</f>
        <v>未填写</v>
      </c>
      <c r="Y130" t="str">
        <f t="shared" ref="Y130:AA130" si="342">"未上传"</f>
        <v>未上传</v>
      </c>
      <c r="Z130" t="str">
        <f t="shared" si="342"/>
        <v>未上传</v>
      </c>
      <c r="AA130" t="str">
        <f t="shared" si="342"/>
        <v>未上传</v>
      </c>
      <c r="AB130" t="str">
        <f t="shared" si="207"/>
        <v>非书面答辩</v>
      </c>
      <c r="AC130" t="str">
        <f t="shared" ref="AC130:AC193" si="343">"学生未填写"</f>
        <v>学生未填写</v>
      </c>
      <c r="AD130" t="str">
        <f t="shared" ref="AD130:AD193" si="344">"未填写"</f>
        <v>未填写</v>
      </c>
      <c r="AE130" t="str">
        <f t="shared" ref="AE130:AE193" si="345">"未签名"</f>
        <v>未签名</v>
      </c>
    </row>
    <row r="131" hidden="1" spans="1:31">
      <c r="A131" t="str">
        <f>"唐玉梅"</f>
        <v>唐玉梅</v>
      </c>
      <c r="B131" t="str">
        <f>"2217212116019"</f>
        <v>2217212116019</v>
      </c>
      <c r="C131" t="s">
        <v>221</v>
      </c>
      <c r="D131" t="str">
        <f t="shared" si="333"/>
        <v>财管22004</v>
      </c>
      <c r="E131" t="str">
        <f t="shared" si="263"/>
        <v>2022</v>
      </c>
      <c r="F131" t="str">
        <f t="shared" si="338"/>
        <v>东莞电研院</v>
      </c>
      <c r="G131" t="str">
        <f t="shared" si="339"/>
        <v>专升本</v>
      </c>
      <c r="H131" t="str">
        <f t="shared" si="334"/>
        <v>财务管理</v>
      </c>
      <c r="I131" t="str">
        <f t="shared" si="335"/>
        <v>函授</v>
      </c>
      <c r="J131" t="str">
        <f>"丁朝辉"</f>
        <v>丁朝辉</v>
      </c>
      <c r="K131" t="s">
        <v>44</v>
      </c>
      <c r="L131" t="s">
        <v>222</v>
      </c>
      <c r="M131" t="s">
        <v>223</v>
      </c>
      <c r="Q131" t="str">
        <f t="shared" si="229"/>
        <v>未选择</v>
      </c>
      <c r="U131" t="str">
        <f t="shared" ref="U131:W131" si="346">"-"</f>
        <v>-</v>
      </c>
      <c r="V131" t="str">
        <f t="shared" si="346"/>
        <v>-</v>
      </c>
      <c r="W131" t="str">
        <f t="shared" si="346"/>
        <v>-</v>
      </c>
      <c r="X131" t="str">
        <f t="shared" si="341"/>
        <v>未填写</v>
      </c>
      <c r="Y131" t="str">
        <f t="shared" ref="Y131:AA131" si="347">"未上传"</f>
        <v>未上传</v>
      </c>
      <c r="Z131" t="str">
        <f t="shared" si="347"/>
        <v>未上传</v>
      </c>
      <c r="AA131" t="str">
        <f t="shared" si="347"/>
        <v>未上传</v>
      </c>
      <c r="AB131" t="str">
        <f t="shared" si="207"/>
        <v>非书面答辩</v>
      </c>
      <c r="AC131" t="str">
        <f t="shared" si="343"/>
        <v>学生未填写</v>
      </c>
      <c r="AD131" t="str">
        <f t="shared" si="344"/>
        <v>未填写</v>
      </c>
      <c r="AE131" t="str">
        <f t="shared" si="345"/>
        <v>未签名</v>
      </c>
    </row>
    <row r="132" spans="1:31">
      <c r="A132" t="str">
        <f>"陈楚君"</f>
        <v>陈楚君</v>
      </c>
      <c r="B132" t="str">
        <f>"2217212117001"</f>
        <v>2217212117001</v>
      </c>
      <c r="C132" t="s">
        <v>224</v>
      </c>
      <c r="D132" t="str">
        <f t="shared" ref="D132:D145" si="348">"工管22102"</f>
        <v>工管22102</v>
      </c>
      <c r="E132" t="str">
        <f t="shared" si="263"/>
        <v>2022</v>
      </c>
      <c r="F132" t="str">
        <f t="shared" si="338"/>
        <v>东莞电研院</v>
      </c>
      <c r="G132" t="str">
        <f t="shared" si="339"/>
        <v>专升本</v>
      </c>
      <c r="H132" t="str">
        <f t="shared" ref="H132:H145" si="349">"工商管理"</f>
        <v>工商管理</v>
      </c>
      <c r="I132" t="str">
        <f t="shared" si="335"/>
        <v>函授</v>
      </c>
      <c r="J132" t="str">
        <f t="shared" ref="J132:J143" si="350">"黄常喜"</f>
        <v>黄常喜</v>
      </c>
      <c r="K132" t="s">
        <v>32</v>
      </c>
      <c r="L132" t="s">
        <v>85</v>
      </c>
      <c r="M132" t="s">
        <v>42</v>
      </c>
      <c r="Q132" t="str">
        <f t="shared" si="229"/>
        <v>未选择</v>
      </c>
      <c r="U132" t="str">
        <f t="shared" ref="U132:W132" si="351">"-"</f>
        <v>-</v>
      </c>
      <c r="V132" t="str">
        <f t="shared" si="351"/>
        <v>-</v>
      </c>
      <c r="W132" t="str">
        <f t="shared" si="351"/>
        <v>-</v>
      </c>
      <c r="X132" t="str">
        <f t="shared" si="341"/>
        <v>未填写</v>
      </c>
      <c r="Y132" t="str">
        <f t="shared" ref="Y132:AA132" si="352">"未上传"</f>
        <v>未上传</v>
      </c>
      <c r="Z132" t="str">
        <f t="shared" si="352"/>
        <v>未上传</v>
      </c>
      <c r="AA132" t="str">
        <f t="shared" si="352"/>
        <v>未上传</v>
      </c>
      <c r="AB132" t="str">
        <f t="shared" si="207"/>
        <v>非书面答辩</v>
      </c>
      <c r="AC132" t="str">
        <f t="shared" si="343"/>
        <v>学生未填写</v>
      </c>
      <c r="AD132" t="str">
        <f t="shared" si="344"/>
        <v>未填写</v>
      </c>
      <c r="AE132" t="str">
        <f t="shared" si="345"/>
        <v>未签名</v>
      </c>
    </row>
    <row r="133" spans="1:31">
      <c r="A133" t="str">
        <f>"陈颖智"</f>
        <v>陈颖智</v>
      </c>
      <c r="B133" t="str">
        <f>"2217212117004"</f>
        <v>2217212117004</v>
      </c>
      <c r="C133" t="s">
        <v>225</v>
      </c>
      <c r="D133" t="str">
        <f t="shared" si="348"/>
        <v>工管22102</v>
      </c>
      <c r="E133" t="str">
        <f t="shared" si="263"/>
        <v>2022</v>
      </c>
      <c r="F133" t="str">
        <f t="shared" si="338"/>
        <v>东莞电研院</v>
      </c>
      <c r="G133" t="str">
        <f t="shared" si="339"/>
        <v>专升本</v>
      </c>
      <c r="H133" t="str">
        <f t="shared" si="349"/>
        <v>工商管理</v>
      </c>
      <c r="I133" t="str">
        <f t="shared" si="335"/>
        <v>函授</v>
      </c>
      <c r="J133" t="str">
        <f t="shared" si="350"/>
        <v>黄常喜</v>
      </c>
      <c r="K133" t="s">
        <v>32</v>
      </c>
      <c r="L133" t="s">
        <v>85</v>
      </c>
      <c r="M133" t="s">
        <v>42</v>
      </c>
      <c r="Q133" t="str">
        <f t="shared" si="229"/>
        <v>未选择</v>
      </c>
      <c r="U133" t="str">
        <f t="shared" ref="U133:W133" si="353">"-"</f>
        <v>-</v>
      </c>
      <c r="V133" t="str">
        <f t="shared" si="353"/>
        <v>-</v>
      </c>
      <c r="W133" t="str">
        <f t="shared" si="353"/>
        <v>-</v>
      </c>
      <c r="X133" t="str">
        <f t="shared" si="341"/>
        <v>未填写</v>
      </c>
      <c r="Y133" t="str">
        <f t="shared" ref="Y133:AA133" si="354">"未上传"</f>
        <v>未上传</v>
      </c>
      <c r="Z133" t="str">
        <f t="shared" si="354"/>
        <v>未上传</v>
      </c>
      <c r="AA133" t="str">
        <f t="shared" si="354"/>
        <v>未上传</v>
      </c>
      <c r="AB133" t="str">
        <f t="shared" si="207"/>
        <v>非书面答辩</v>
      </c>
      <c r="AC133" t="str">
        <f t="shared" si="343"/>
        <v>学生未填写</v>
      </c>
      <c r="AD133" t="str">
        <f t="shared" si="344"/>
        <v>未填写</v>
      </c>
      <c r="AE133" t="str">
        <f t="shared" si="345"/>
        <v>未签名</v>
      </c>
    </row>
    <row r="134" spans="1:31">
      <c r="A134" t="str">
        <f>"黄剑英"</f>
        <v>黄剑英</v>
      </c>
      <c r="B134" t="str">
        <f>"2217212117013"</f>
        <v>2217212117013</v>
      </c>
      <c r="C134" t="s">
        <v>226</v>
      </c>
      <c r="D134" t="str">
        <f t="shared" si="348"/>
        <v>工管22102</v>
      </c>
      <c r="E134" t="str">
        <f t="shared" si="263"/>
        <v>2022</v>
      </c>
      <c r="F134" t="str">
        <f t="shared" si="338"/>
        <v>东莞电研院</v>
      </c>
      <c r="G134" t="str">
        <f t="shared" si="339"/>
        <v>专升本</v>
      </c>
      <c r="H134" t="str">
        <f t="shared" si="349"/>
        <v>工商管理</v>
      </c>
      <c r="I134" t="str">
        <f t="shared" si="335"/>
        <v>函授</v>
      </c>
      <c r="J134" t="str">
        <f t="shared" si="350"/>
        <v>黄常喜</v>
      </c>
      <c r="K134" t="s">
        <v>32</v>
      </c>
      <c r="L134" t="s">
        <v>85</v>
      </c>
      <c r="M134" t="s">
        <v>42</v>
      </c>
      <c r="Q134" t="str">
        <f t="shared" si="229"/>
        <v>未选择</v>
      </c>
      <c r="U134" t="str">
        <f t="shared" ref="U134:W134" si="355">"-"</f>
        <v>-</v>
      </c>
      <c r="V134" t="str">
        <f t="shared" si="355"/>
        <v>-</v>
      </c>
      <c r="W134" t="str">
        <f t="shared" si="355"/>
        <v>-</v>
      </c>
      <c r="X134" t="str">
        <f t="shared" si="341"/>
        <v>未填写</v>
      </c>
      <c r="Y134" t="str">
        <f t="shared" ref="Y134:AA134" si="356">"未上传"</f>
        <v>未上传</v>
      </c>
      <c r="Z134" t="str">
        <f t="shared" si="356"/>
        <v>未上传</v>
      </c>
      <c r="AA134" t="str">
        <f t="shared" si="356"/>
        <v>未上传</v>
      </c>
      <c r="AB134" t="str">
        <f t="shared" si="207"/>
        <v>非书面答辩</v>
      </c>
      <c r="AC134" t="str">
        <f t="shared" si="343"/>
        <v>学生未填写</v>
      </c>
      <c r="AD134" t="str">
        <f t="shared" si="344"/>
        <v>未填写</v>
      </c>
      <c r="AE134" t="str">
        <f t="shared" si="345"/>
        <v>未签名</v>
      </c>
    </row>
    <row r="135" spans="1:31">
      <c r="A135" t="str">
        <f>"黄金玉"</f>
        <v>黄金玉</v>
      </c>
      <c r="B135" t="str">
        <f>"2217212117014"</f>
        <v>2217212117014</v>
      </c>
      <c r="C135" t="s">
        <v>227</v>
      </c>
      <c r="D135" t="str">
        <f t="shared" si="348"/>
        <v>工管22102</v>
      </c>
      <c r="E135" t="str">
        <f t="shared" si="263"/>
        <v>2022</v>
      </c>
      <c r="F135" t="str">
        <f t="shared" si="338"/>
        <v>东莞电研院</v>
      </c>
      <c r="G135" t="str">
        <f t="shared" si="339"/>
        <v>专升本</v>
      </c>
      <c r="H135" t="str">
        <f t="shared" si="349"/>
        <v>工商管理</v>
      </c>
      <c r="I135" t="str">
        <f t="shared" si="335"/>
        <v>函授</v>
      </c>
      <c r="J135" t="str">
        <f t="shared" si="350"/>
        <v>黄常喜</v>
      </c>
      <c r="K135" t="s">
        <v>32</v>
      </c>
      <c r="L135" t="s">
        <v>85</v>
      </c>
      <c r="M135" t="s">
        <v>42</v>
      </c>
      <c r="Q135" t="str">
        <f t="shared" si="229"/>
        <v>未选择</v>
      </c>
      <c r="U135" t="str">
        <f t="shared" ref="U135:W135" si="357">"-"</f>
        <v>-</v>
      </c>
      <c r="V135" t="str">
        <f t="shared" si="357"/>
        <v>-</v>
      </c>
      <c r="W135" t="str">
        <f t="shared" si="357"/>
        <v>-</v>
      </c>
      <c r="X135" t="str">
        <f t="shared" si="341"/>
        <v>未填写</v>
      </c>
      <c r="Y135" t="str">
        <f t="shared" ref="Y135:AA135" si="358">"未上传"</f>
        <v>未上传</v>
      </c>
      <c r="Z135" t="str">
        <f t="shared" si="358"/>
        <v>未上传</v>
      </c>
      <c r="AA135" t="str">
        <f t="shared" si="358"/>
        <v>未上传</v>
      </c>
      <c r="AB135" t="str">
        <f t="shared" si="207"/>
        <v>非书面答辩</v>
      </c>
      <c r="AC135" t="str">
        <f t="shared" si="343"/>
        <v>学生未填写</v>
      </c>
      <c r="AD135" t="str">
        <f t="shared" si="344"/>
        <v>未填写</v>
      </c>
      <c r="AE135" t="str">
        <f t="shared" si="345"/>
        <v>未签名</v>
      </c>
    </row>
    <row r="136" spans="1:31">
      <c r="A136" t="str">
        <f>"黄俊翔"</f>
        <v>黄俊翔</v>
      </c>
      <c r="B136" t="str">
        <f>"2217212117016"</f>
        <v>2217212117016</v>
      </c>
      <c r="C136" t="s">
        <v>228</v>
      </c>
      <c r="D136" t="str">
        <f t="shared" si="348"/>
        <v>工管22102</v>
      </c>
      <c r="E136" t="str">
        <f t="shared" si="263"/>
        <v>2022</v>
      </c>
      <c r="F136" t="str">
        <f t="shared" si="338"/>
        <v>东莞电研院</v>
      </c>
      <c r="G136" t="str">
        <f t="shared" si="339"/>
        <v>专升本</v>
      </c>
      <c r="H136" t="str">
        <f t="shared" si="349"/>
        <v>工商管理</v>
      </c>
      <c r="I136" t="str">
        <f t="shared" si="335"/>
        <v>函授</v>
      </c>
      <c r="J136" t="str">
        <f t="shared" si="350"/>
        <v>黄常喜</v>
      </c>
      <c r="K136" t="s">
        <v>32</v>
      </c>
      <c r="L136" t="s">
        <v>85</v>
      </c>
      <c r="M136" t="s">
        <v>42</v>
      </c>
      <c r="Q136" t="str">
        <f t="shared" si="229"/>
        <v>未选择</v>
      </c>
      <c r="U136" t="str">
        <f t="shared" ref="U136:W136" si="359">"-"</f>
        <v>-</v>
      </c>
      <c r="V136" t="str">
        <f t="shared" si="359"/>
        <v>-</v>
      </c>
      <c r="W136" t="str">
        <f t="shared" si="359"/>
        <v>-</v>
      </c>
      <c r="X136" t="str">
        <f t="shared" si="341"/>
        <v>未填写</v>
      </c>
      <c r="Y136" t="str">
        <f t="shared" ref="Y136:AA136" si="360">"未上传"</f>
        <v>未上传</v>
      </c>
      <c r="Z136" t="str">
        <f t="shared" si="360"/>
        <v>未上传</v>
      </c>
      <c r="AA136" t="str">
        <f t="shared" si="360"/>
        <v>未上传</v>
      </c>
      <c r="AB136" t="str">
        <f t="shared" si="207"/>
        <v>非书面答辩</v>
      </c>
      <c r="AC136" t="str">
        <f t="shared" si="343"/>
        <v>学生未填写</v>
      </c>
      <c r="AD136" t="str">
        <f t="shared" si="344"/>
        <v>未填写</v>
      </c>
      <c r="AE136" t="str">
        <f t="shared" si="345"/>
        <v>未签名</v>
      </c>
    </row>
    <row r="137" spans="1:31">
      <c r="A137" t="str">
        <f>"黎溢锋"</f>
        <v>黎溢锋</v>
      </c>
      <c r="B137" t="str">
        <f>"2217212117021"</f>
        <v>2217212117021</v>
      </c>
      <c r="C137" t="s">
        <v>229</v>
      </c>
      <c r="D137" t="str">
        <f t="shared" si="348"/>
        <v>工管22102</v>
      </c>
      <c r="E137" t="str">
        <f t="shared" si="263"/>
        <v>2022</v>
      </c>
      <c r="F137" t="str">
        <f t="shared" si="338"/>
        <v>东莞电研院</v>
      </c>
      <c r="G137" t="str">
        <f t="shared" si="339"/>
        <v>专升本</v>
      </c>
      <c r="H137" t="str">
        <f t="shared" si="349"/>
        <v>工商管理</v>
      </c>
      <c r="I137" t="str">
        <f t="shared" si="335"/>
        <v>函授</v>
      </c>
      <c r="J137" t="str">
        <f t="shared" si="350"/>
        <v>黄常喜</v>
      </c>
      <c r="K137" t="s">
        <v>32</v>
      </c>
      <c r="L137" t="s">
        <v>85</v>
      </c>
      <c r="M137" t="s">
        <v>42</v>
      </c>
      <c r="Q137" t="str">
        <f t="shared" si="229"/>
        <v>未选择</v>
      </c>
      <c r="U137" t="str">
        <f t="shared" ref="U137:W137" si="361">"-"</f>
        <v>-</v>
      </c>
      <c r="V137" t="str">
        <f t="shared" si="361"/>
        <v>-</v>
      </c>
      <c r="W137" t="str">
        <f t="shared" si="361"/>
        <v>-</v>
      </c>
      <c r="X137" t="str">
        <f t="shared" si="341"/>
        <v>未填写</v>
      </c>
      <c r="Y137" t="str">
        <f t="shared" ref="Y137:AA137" si="362">"未上传"</f>
        <v>未上传</v>
      </c>
      <c r="Z137" t="str">
        <f t="shared" si="362"/>
        <v>未上传</v>
      </c>
      <c r="AA137" t="str">
        <f t="shared" si="362"/>
        <v>未上传</v>
      </c>
      <c r="AB137" t="str">
        <f t="shared" si="207"/>
        <v>非书面答辩</v>
      </c>
      <c r="AC137" t="str">
        <f t="shared" si="343"/>
        <v>学生未填写</v>
      </c>
      <c r="AD137" t="str">
        <f t="shared" si="344"/>
        <v>未填写</v>
      </c>
      <c r="AE137" t="str">
        <f t="shared" si="345"/>
        <v>未签名</v>
      </c>
    </row>
    <row r="138" spans="1:31">
      <c r="A138" t="str">
        <f>"梁张鹏"</f>
        <v>梁张鹏</v>
      </c>
      <c r="B138" t="str">
        <f>"2217212117028"</f>
        <v>2217212117028</v>
      </c>
      <c r="C138" t="s">
        <v>230</v>
      </c>
      <c r="D138" t="str">
        <f t="shared" si="348"/>
        <v>工管22102</v>
      </c>
      <c r="E138" t="str">
        <f t="shared" si="263"/>
        <v>2022</v>
      </c>
      <c r="F138" t="str">
        <f t="shared" si="338"/>
        <v>东莞电研院</v>
      </c>
      <c r="G138" t="str">
        <f t="shared" si="339"/>
        <v>专升本</v>
      </c>
      <c r="H138" t="str">
        <f t="shared" si="349"/>
        <v>工商管理</v>
      </c>
      <c r="I138" t="str">
        <f t="shared" si="335"/>
        <v>函授</v>
      </c>
      <c r="J138" t="str">
        <f t="shared" si="350"/>
        <v>黄常喜</v>
      </c>
      <c r="K138" t="s">
        <v>32</v>
      </c>
      <c r="L138" t="s">
        <v>85</v>
      </c>
      <c r="M138" t="s">
        <v>42</v>
      </c>
      <c r="Q138" t="str">
        <f t="shared" si="229"/>
        <v>未选择</v>
      </c>
      <c r="U138" t="str">
        <f t="shared" ref="U138:W138" si="363">"-"</f>
        <v>-</v>
      </c>
      <c r="V138" t="str">
        <f t="shared" si="363"/>
        <v>-</v>
      </c>
      <c r="W138" t="str">
        <f t="shared" si="363"/>
        <v>-</v>
      </c>
      <c r="X138" t="str">
        <f t="shared" si="341"/>
        <v>未填写</v>
      </c>
      <c r="Y138" t="str">
        <f t="shared" ref="Y138:AA138" si="364">"未上传"</f>
        <v>未上传</v>
      </c>
      <c r="Z138" t="str">
        <f t="shared" si="364"/>
        <v>未上传</v>
      </c>
      <c r="AA138" t="str">
        <f t="shared" si="364"/>
        <v>未上传</v>
      </c>
      <c r="AB138" t="str">
        <f t="shared" si="207"/>
        <v>非书面答辩</v>
      </c>
      <c r="AC138" t="str">
        <f t="shared" si="343"/>
        <v>学生未填写</v>
      </c>
      <c r="AD138" t="str">
        <f t="shared" si="344"/>
        <v>未填写</v>
      </c>
      <c r="AE138" t="str">
        <f t="shared" si="345"/>
        <v>未签名</v>
      </c>
    </row>
    <row r="139" spans="1:31">
      <c r="A139" t="str">
        <f>"林梓菱"</f>
        <v>林梓菱</v>
      </c>
      <c r="B139" t="str">
        <f>"2217212117031"</f>
        <v>2217212117031</v>
      </c>
      <c r="C139" t="s">
        <v>231</v>
      </c>
      <c r="D139" t="str">
        <f t="shared" si="348"/>
        <v>工管22102</v>
      </c>
      <c r="E139" t="str">
        <f t="shared" si="263"/>
        <v>2022</v>
      </c>
      <c r="F139" t="str">
        <f t="shared" si="338"/>
        <v>东莞电研院</v>
      </c>
      <c r="G139" t="str">
        <f t="shared" si="339"/>
        <v>专升本</v>
      </c>
      <c r="H139" t="str">
        <f t="shared" si="349"/>
        <v>工商管理</v>
      </c>
      <c r="I139" t="str">
        <f t="shared" si="335"/>
        <v>函授</v>
      </c>
      <c r="J139" t="str">
        <f t="shared" si="350"/>
        <v>黄常喜</v>
      </c>
      <c r="K139" t="s">
        <v>32</v>
      </c>
      <c r="L139" t="s">
        <v>85</v>
      </c>
      <c r="M139" t="s">
        <v>42</v>
      </c>
      <c r="Q139" t="str">
        <f t="shared" si="229"/>
        <v>未选择</v>
      </c>
      <c r="U139" t="str">
        <f t="shared" ref="U139:W139" si="365">"-"</f>
        <v>-</v>
      </c>
      <c r="V139" t="str">
        <f t="shared" si="365"/>
        <v>-</v>
      </c>
      <c r="W139" t="str">
        <f t="shared" si="365"/>
        <v>-</v>
      </c>
      <c r="X139" t="str">
        <f t="shared" si="341"/>
        <v>未填写</v>
      </c>
      <c r="Y139" t="str">
        <f t="shared" ref="Y139:AA139" si="366">"未上传"</f>
        <v>未上传</v>
      </c>
      <c r="Z139" t="str">
        <f t="shared" si="366"/>
        <v>未上传</v>
      </c>
      <c r="AA139" t="str">
        <f t="shared" si="366"/>
        <v>未上传</v>
      </c>
      <c r="AB139" t="str">
        <f t="shared" si="207"/>
        <v>非书面答辩</v>
      </c>
      <c r="AC139" t="str">
        <f t="shared" si="343"/>
        <v>学生未填写</v>
      </c>
      <c r="AD139" t="str">
        <f t="shared" si="344"/>
        <v>未填写</v>
      </c>
      <c r="AE139" t="str">
        <f t="shared" si="345"/>
        <v>未签名</v>
      </c>
    </row>
    <row r="140" spans="1:31">
      <c r="A140" t="str">
        <f>"麦子聪"</f>
        <v>麦子聪</v>
      </c>
      <c r="B140" t="str">
        <f>"2217212117037"</f>
        <v>2217212117037</v>
      </c>
      <c r="C140" t="s">
        <v>232</v>
      </c>
      <c r="D140" t="str">
        <f t="shared" si="348"/>
        <v>工管22102</v>
      </c>
      <c r="E140" t="str">
        <f t="shared" si="263"/>
        <v>2022</v>
      </c>
      <c r="F140" t="str">
        <f t="shared" si="338"/>
        <v>东莞电研院</v>
      </c>
      <c r="G140" t="str">
        <f t="shared" si="339"/>
        <v>专升本</v>
      </c>
      <c r="H140" t="str">
        <f t="shared" si="349"/>
        <v>工商管理</v>
      </c>
      <c r="I140" t="str">
        <f t="shared" si="335"/>
        <v>函授</v>
      </c>
      <c r="J140" t="str">
        <f t="shared" si="350"/>
        <v>黄常喜</v>
      </c>
      <c r="K140" t="s">
        <v>32</v>
      </c>
      <c r="L140" t="s">
        <v>85</v>
      </c>
      <c r="M140" t="s">
        <v>42</v>
      </c>
      <c r="Q140" t="str">
        <f t="shared" si="229"/>
        <v>未选择</v>
      </c>
      <c r="U140" t="str">
        <f t="shared" ref="U140:W140" si="367">"-"</f>
        <v>-</v>
      </c>
      <c r="V140" t="str">
        <f t="shared" si="367"/>
        <v>-</v>
      </c>
      <c r="W140" t="str">
        <f t="shared" si="367"/>
        <v>-</v>
      </c>
      <c r="X140" t="str">
        <f t="shared" si="341"/>
        <v>未填写</v>
      </c>
      <c r="Y140" t="str">
        <f t="shared" ref="Y140:AA140" si="368">"未上传"</f>
        <v>未上传</v>
      </c>
      <c r="Z140" t="str">
        <f t="shared" si="368"/>
        <v>未上传</v>
      </c>
      <c r="AA140" t="str">
        <f t="shared" si="368"/>
        <v>未上传</v>
      </c>
      <c r="AB140" t="str">
        <f t="shared" si="207"/>
        <v>非书面答辩</v>
      </c>
      <c r="AC140" t="str">
        <f t="shared" si="343"/>
        <v>学生未填写</v>
      </c>
      <c r="AD140" t="str">
        <f t="shared" si="344"/>
        <v>未填写</v>
      </c>
      <c r="AE140" t="str">
        <f t="shared" si="345"/>
        <v>未签名</v>
      </c>
    </row>
    <row r="141" spans="1:31">
      <c r="A141" t="str">
        <f>"潘健洪"</f>
        <v>潘健洪</v>
      </c>
      <c r="B141" t="str">
        <f>"2217212117039"</f>
        <v>2217212117039</v>
      </c>
      <c r="C141" t="s">
        <v>233</v>
      </c>
      <c r="D141" t="str">
        <f t="shared" si="348"/>
        <v>工管22102</v>
      </c>
      <c r="E141" t="str">
        <f t="shared" si="263"/>
        <v>2022</v>
      </c>
      <c r="F141" t="str">
        <f t="shared" si="338"/>
        <v>东莞电研院</v>
      </c>
      <c r="G141" t="str">
        <f t="shared" si="339"/>
        <v>专升本</v>
      </c>
      <c r="H141" t="str">
        <f t="shared" si="349"/>
        <v>工商管理</v>
      </c>
      <c r="I141" t="str">
        <f t="shared" si="335"/>
        <v>函授</v>
      </c>
      <c r="J141" t="str">
        <f t="shared" si="350"/>
        <v>黄常喜</v>
      </c>
      <c r="K141" t="s">
        <v>32</v>
      </c>
      <c r="L141" t="s">
        <v>85</v>
      </c>
      <c r="M141" t="s">
        <v>42</v>
      </c>
      <c r="Q141" t="str">
        <f t="shared" si="229"/>
        <v>未选择</v>
      </c>
      <c r="U141" t="str">
        <f t="shared" ref="U141:W141" si="369">"-"</f>
        <v>-</v>
      </c>
      <c r="V141" t="str">
        <f t="shared" si="369"/>
        <v>-</v>
      </c>
      <c r="W141" t="str">
        <f t="shared" si="369"/>
        <v>-</v>
      </c>
      <c r="X141" t="str">
        <f t="shared" si="341"/>
        <v>未填写</v>
      </c>
      <c r="Y141" t="str">
        <f t="shared" ref="Y141:AA141" si="370">"未上传"</f>
        <v>未上传</v>
      </c>
      <c r="Z141" t="str">
        <f t="shared" si="370"/>
        <v>未上传</v>
      </c>
      <c r="AA141" t="str">
        <f t="shared" si="370"/>
        <v>未上传</v>
      </c>
      <c r="AB141" t="str">
        <f t="shared" ref="AB141:AB145" si="371">"非书面答辩"</f>
        <v>非书面答辩</v>
      </c>
      <c r="AC141" t="str">
        <f t="shared" si="343"/>
        <v>学生未填写</v>
      </c>
      <c r="AD141" t="str">
        <f t="shared" si="344"/>
        <v>未填写</v>
      </c>
      <c r="AE141" t="str">
        <f t="shared" si="345"/>
        <v>未签名</v>
      </c>
    </row>
    <row r="142" spans="1:31">
      <c r="A142" t="str">
        <f>"苏顺琴"</f>
        <v>苏顺琴</v>
      </c>
      <c r="B142" t="str">
        <f>"2217212117042"</f>
        <v>2217212117042</v>
      </c>
      <c r="C142" t="s">
        <v>234</v>
      </c>
      <c r="D142" t="str">
        <f t="shared" si="348"/>
        <v>工管22102</v>
      </c>
      <c r="E142" t="str">
        <f t="shared" si="263"/>
        <v>2022</v>
      </c>
      <c r="F142" t="str">
        <f t="shared" si="338"/>
        <v>东莞电研院</v>
      </c>
      <c r="G142" t="str">
        <f t="shared" si="339"/>
        <v>专升本</v>
      </c>
      <c r="H142" t="str">
        <f t="shared" si="349"/>
        <v>工商管理</v>
      </c>
      <c r="I142" t="str">
        <f t="shared" si="335"/>
        <v>函授</v>
      </c>
      <c r="J142" t="str">
        <f t="shared" si="350"/>
        <v>黄常喜</v>
      </c>
      <c r="K142" t="s">
        <v>32</v>
      </c>
      <c r="L142" t="s">
        <v>85</v>
      </c>
      <c r="M142" t="s">
        <v>42</v>
      </c>
      <c r="Q142" t="str">
        <f t="shared" si="229"/>
        <v>未选择</v>
      </c>
      <c r="U142" t="str">
        <f t="shared" ref="U142:W142" si="372">"-"</f>
        <v>-</v>
      </c>
      <c r="V142" t="str">
        <f t="shared" si="372"/>
        <v>-</v>
      </c>
      <c r="W142" t="str">
        <f t="shared" si="372"/>
        <v>-</v>
      </c>
      <c r="X142" t="str">
        <f t="shared" si="341"/>
        <v>未填写</v>
      </c>
      <c r="Y142" t="str">
        <f t="shared" ref="Y142:AA142" si="373">"未上传"</f>
        <v>未上传</v>
      </c>
      <c r="Z142" t="str">
        <f t="shared" si="373"/>
        <v>未上传</v>
      </c>
      <c r="AA142" t="str">
        <f t="shared" si="373"/>
        <v>未上传</v>
      </c>
      <c r="AB142" t="str">
        <f t="shared" si="371"/>
        <v>非书面答辩</v>
      </c>
      <c r="AC142" t="str">
        <f t="shared" si="343"/>
        <v>学生未填写</v>
      </c>
      <c r="AD142" t="str">
        <f t="shared" si="344"/>
        <v>未填写</v>
      </c>
      <c r="AE142" t="str">
        <f t="shared" si="345"/>
        <v>未签名</v>
      </c>
    </row>
    <row r="143" spans="1:31">
      <c r="A143" t="str">
        <f>"吴健辉"</f>
        <v>吴健辉</v>
      </c>
      <c r="B143" t="str">
        <f>"2217212117045"</f>
        <v>2217212117045</v>
      </c>
      <c r="C143" t="s">
        <v>235</v>
      </c>
      <c r="D143" t="str">
        <f t="shared" si="348"/>
        <v>工管22102</v>
      </c>
      <c r="E143" t="str">
        <f t="shared" si="263"/>
        <v>2022</v>
      </c>
      <c r="F143" t="str">
        <f t="shared" si="338"/>
        <v>东莞电研院</v>
      </c>
      <c r="G143" t="str">
        <f t="shared" si="339"/>
        <v>专升本</v>
      </c>
      <c r="H143" t="str">
        <f t="shared" si="349"/>
        <v>工商管理</v>
      </c>
      <c r="I143" t="str">
        <f t="shared" si="335"/>
        <v>函授</v>
      </c>
      <c r="J143" t="str">
        <f t="shared" si="350"/>
        <v>黄常喜</v>
      </c>
      <c r="K143" t="s">
        <v>32</v>
      </c>
      <c r="L143" t="s">
        <v>85</v>
      </c>
      <c r="M143" t="s">
        <v>42</v>
      </c>
      <c r="Q143" t="str">
        <f t="shared" si="229"/>
        <v>未选择</v>
      </c>
      <c r="U143" t="str">
        <f t="shared" ref="U143:W143" si="374">"-"</f>
        <v>-</v>
      </c>
      <c r="V143" t="str">
        <f t="shared" si="374"/>
        <v>-</v>
      </c>
      <c r="W143" t="str">
        <f t="shared" si="374"/>
        <v>-</v>
      </c>
      <c r="X143" t="str">
        <f t="shared" si="341"/>
        <v>未填写</v>
      </c>
      <c r="Y143" t="str">
        <f t="shared" ref="Y143:AA143" si="375">"未上传"</f>
        <v>未上传</v>
      </c>
      <c r="Z143" t="str">
        <f t="shared" si="375"/>
        <v>未上传</v>
      </c>
      <c r="AA143" t="str">
        <f t="shared" si="375"/>
        <v>未上传</v>
      </c>
      <c r="AB143" t="str">
        <f t="shared" si="371"/>
        <v>非书面答辩</v>
      </c>
      <c r="AC143" t="str">
        <f t="shared" si="343"/>
        <v>学生未填写</v>
      </c>
      <c r="AD143" t="str">
        <f t="shared" si="344"/>
        <v>未填写</v>
      </c>
      <c r="AE143" t="str">
        <f t="shared" si="345"/>
        <v>未签名</v>
      </c>
    </row>
    <row r="144" hidden="1" spans="1:31">
      <c r="A144" t="str">
        <f>"杨祝芹"</f>
        <v>杨祝芹</v>
      </c>
      <c r="B144" t="str">
        <f>"2217212117053"</f>
        <v>2217212117053</v>
      </c>
      <c r="C144" t="s">
        <v>236</v>
      </c>
      <c r="D144" t="str">
        <f t="shared" si="348"/>
        <v>工管22102</v>
      </c>
      <c r="E144" t="str">
        <f t="shared" si="263"/>
        <v>2022</v>
      </c>
      <c r="F144" t="str">
        <f t="shared" si="338"/>
        <v>东莞电研院</v>
      </c>
      <c r="G144" t="str">
        <f t="shared" si="339"/>
        <v>专升本</v>
      </c>
      <c r="H144" t="str">
        <f t="shared" si="349"/>
        <v>工商管理</v>
      </c>
      <c r="I144" t="str">
        <f t="shared" si="335"/>
        <v>函授</v>
      </c>
      <c r="J144" t="str">
        <f>"姚永红"</f>
        <v>姚永红</v>
      </c>
      <c r="K144" t="s">
        <v>44</v>
      </c>
      <c r="L144" t="s">
        <v>133</v>
      </c>
      <c r="M144" t="str">
        <f>"13760660101@qq.com"</f>
        <v>13760660101@qq.com</v>
      </c>
      <c r="Q144" t="str">
        <f t="shared" si="229"/>
        <v>未选择</v>
      </c>
      <c r="U144" t="str">
        <f t="shared" ref="U144:W144" si="376">"-"</f>
        <v>-</v>
      </c>
      <c r="V144" t="str">
        <f t="shared" si="376"/>
        <v>-</v>
      </c>
      <c r="W144" t="str">
        <f t="shared" si="376"/>
        <v>-</v>
      </c>
      <c r="X144" t="str">
        <f t="shared" si="341"/>
        <v>未填写</v>
      </c>
      <c r="Y144" t="str">
        <f t="shared" ref="Y144:AA144" si="377">"未上传"</f>
        <v>未上传</v>
      </c>
      <c r="Z144" t="str">
        <f t="shared" si="377"/>
        <v>未上传</v>
      </c>
      <c r="AA144" t="str">
        <f t="shared" si="377"/>
        <v>未上传</v>
      </c>
      <c r="AB144" t="str">
        <f t="shared" si="371"/>
        <v>非书面答辩</v>
      </c>
      <c r="AC144" t="str">
        <f t="shared" si="343"/>
        <v>学生未填写</v>
      </c>
      <c r="AD144" t="str">
        <f t="shared" si="344"/>
        <v>未填写</v>
      </c>
      <c r="AE144" t="str">
        <f t="shared" si="345"/>
        <v>未签名</v>
      </c>
    </row>
    <row r="145" hidden="1" spans="1:31">
      <c r="A145" t="str">
        <f>"郑伟健"</f>
        <v>郑伟健</v>
      </c>
      <c r="B145" t="str">
        <f>"2217212117062"</f>
        <v>2217212117062</v>
      </c>
      <c r="C145" t="s">
        <v>237</v>
      </c>
      <c r="D145" t="str">
        <f t="shared" si="348"/>
        <v>工管22102</v>
      </c>
      <c r="E145" t="str">
        <f t="shared" si="263"/>
        <v>2022</v>
      </c>
      <c r="F145" t="str">
        <f t="shared" si="338"/>
        <v>东莞电研院</v>
      </c>
      <c r="G145" t="str">
        <f t="shared" si="339"/>
        <v>专升本</v>
      </c>
      <c r="H145" t="str">
        <f t="shared" si="349"/>
        <v>工商管理</v>
      </c>
      <c r="I145" t="str">
        <f t="shared" si="335"/>
        <v>函授</v>
      </c>
      <c r="J145" t="str">
        <f>"姚永红"</f>
        <v>姚永红</v>
      </c>
      <c r="K145" t="s">
        <v>44</v>
      </c>
      <c r="L145" t="s">
        <v>133</v>
      </c>
      <c r="M145" t="str">
        <f>"13760660101@qq.com"</f>
        <v>13760660101@qq.com</v>
      </c>
      <c r="Q145" t="str">
        <f t="shared" si="229"/>
        <v>未选择</v>
      </c>
      <c r="U145" t="str">
        <f t="shared" ref="U145:W145" si="378">"-"</f>
        <v>-</v>
      </c>
      <c r="V145" t="str">
        <f t="shared" si="378"/>
        <v>-</v>
      </c>
      <c r="W145" t="str">
        <f t="shared" si="378"/>
        <v>-</v>
      </c>
      <c r="X145" t="str">
        <f t="shared" si="341"/>
        <v>未填写</v>
      </c>
      <c r="Y145" t="str">
        <f t="shared" ref="Y145:AA145" si="379">"未上传"</f>
        <v>未上传</v>
      </c>
      <c r="Z145" t="str">
        <f t="shared" si="379"/>
        <v>未上传</v>
      </c>
      <c r="AA145" t="str">
        <f t="shared" si="379"/>
        <v>未上传</v>
      </c>
      <c r="AB145" t="str">
        <f t="shared" si="371"/>
        <v>非书面答辩</v>
      </c>
      <c r="AC145" t="str">
        <f t="shared" si="343"/>
        <v>学生未填写</v>
      </c>
      <c r="AD145" t="str">
        <f t="shared" si="344"/>
        <v>未填写</v>
      </c>
      <c r="AE145" t="str">
        <f t="shared" si="345"/>
        <v>未签名</v>
      </c>
    </row>
    <row r="146" hidden="1" spans="1:31">
      <c r="A146" t="str">
        <f>"蔡丽"</f>
        <v>蔡丽</v>
      </c>
      <c r="B146" t="str">
        <f>"2217212118001"</f>
        <v>2217212118001</v>
      </c>
      <c r="C146" t="s">
        <v>238</v>
      </c>
      <c r="D146" t="str">
        <f t="shared" ref="D146:D155" si="380">"行管22166"</f>
        <v>行管22166</v>
      </c>
      <c r="E146" t="str">
        <f t="shared" si="263"/>
        <v>2022</v>
      </c>
      <c r="F146" t="str">
        <f t="shared" si="338"/>
        <v>东莞电研院</v>
      </c>
      <c r="G146" t="str">
        <f t="shared" si="339"/>
        <v>专升本</v>
      </c>
      <c r="H146" t="str">
        <f t="shared" ref="H146:H155" si="381">"行政管理"</f>
        <v>行政管理</v>
      </c>
      <c r="I146" t="str">
        <f t="shared" si="335"/>
        <v>函授</v>
      </c>
      <c r="J146" t="str">
        <f>"何子昉"</f>
        <v>何子昉</v>
      </c>
      <c r="K146" t="s">
        <v>44</v>
      </c>
      <c r="L146" t="s">
        <v>239</v>
      </c>
      <c r="M146" t="s">
        <v>240</v>
      </c>
      <c r="N146" t="str">
        <f>"事业单位人力资源规划的困境和解决策略研究"</f>
        <v>事业单位人力资源规划的困境和解决策略研究</v>
      </c>
      <c r="O146" t="str">
        <f>"人力资源规划;解决策略研究"</f>
        <v>人力资源规划;解决策略研究</v>
      </c>
      <c r="P146" t="str">
        <f>"事业单位;人力资源规划;困境;解决策略"</f>
        <v>事业单位;人力资源规划;困境;解决策略</v>
      </c>
      <c r="Q146" t="str">
        <f>"书面答辩"</f>
        <v>书面答辩</v>
      </c>
      <c r="R146" t="str">
        <f>"毕业论文"</f>
        <v>毕业论文</v>
      </c>
      <c r="S146" t="str">
        <f>"中文"</f>
        <v>中文</v>
      </c>
      <c r="T146" t="str">
        <f>"学校自选项目"</f>
        <v>学校自选项目</v>
      </c>
      <c r="U146" t="str">
        <f>"未审核"</f>
        <v>未审核</v>
      </c>
      <c r="X146" t="str">
        <f t="shared" si="341"/>
        <v>未填写</v>
      </c>
      <c r="Y146" t="str">
        <f t="shared" ref="Y146:AA146" si="382">"未上传"</f>
        <v>未上传</v>
      </c>
      <c r="Z146" t="str">
        <f t="shared" si="382"/>
        <v>未上传</v>
      </c>
      <c r="AA146" t="str">
        <f t="shared" si="382"/>
        <v>未上传</v>
      </c>
      <c r="AB146" t="str">
        <f>"未发布问题"</f>
        <v>未发布问题</v>
      </c>
      <c r="AC146" t="str">
        <f t="shared" si="343"/>
        <v>学生未填写</v>
      </c>
      <c r="AD146" t="str">
        <f t="shared" si="344"/>
        <v>未填写</v>
      </c>
      <c r="AE146" t="str">
        <f t="shared" si="345"/>
        <v>未签名</v>
      </c>
    </row>
    <row r="147" hidden="1" spans="1:31">
      <c r="A147" t="str">
        <f>"梁佩宜"</f>
        <v>梁佩宜</v>
      </c>
      <c r="B147" t="str">
        <f>"2217212118020"</f>
        <v>2217212118020</v>
      </c>
      <c r="C147" t="s">
        <v>241</v>
      </c>
      <c r="D147" t="str">
        <f t="shared" si="380"/>
        <v>行管22166</v>
      </c>
      <c r="E147" t="str">
        <f t="shared" si="263"/>
        <v>2022</v>
      </c>
      <c r="F147" t="str">
        <f t="shared" si="338"/>
        <v>东莞电研院</v>
      </c>
      <c r="G147" t="str">
        <f t="shared" si="339"/>
        <v>专升本</v>
      </c>
      <c r="H147" t="str">
        <f t="shared" si="381"/>
        <v>行政管理</v>
      </c>
      <c r="I147" t="str">
        <f t="shared" si="335"/>
        <v>函授</v>
      </c>
      <c r="J147" t="str">
        <f t="shared" ref="J147:J151" si="383">"刘倩"</f>
        <v>刘倩</v>
      </c>
      <c r="K147" t="s">
        <v>44</v>
      </c>
      <c r="L147" t="s">
        <v>242</v>
      </c>
      <c r="M147" t="s">
        <v>243</v>
      </c>
      <c r="Q147" t="str">
        <f t="shared" ref="Q147:Q178" si="384">"未选择"</f>
        <v>未选择</v>
      </c>
      <c r="U147" t="str">
        <f t="shared" ref="U147:W147" si="385">"-"</f>
        <v>-</v>
      </c>
      <c r="V147" t="str">
        <f t="shared" si="385"/>
        <v>-</v>
      </c>
      <c r="W147" t="str">
        <f t="shared" si="385"/>
        <v>-</v>
      </c>
      <c r="X147" t="str">
        <f t="shared" si="341"/>
        <v>未填写</v>
      </c>
      <c r="Y147" t="str">
        <f t="shared" ref="Y147:AA147" si="386">"未上传"</f>
        <v>未上传</v>
      </c>
      <c r="Z147" t="str">
        <f t="shared" si="386"/>
        <v>未上传</v>
      </c>
      <c r="AA147" t="str">
        <f t="shared" si="386"/>
        <v>未上传</v>
      </c>
      <c r="AB147" t="str">
        <f t="shared" ref="AB147:AB178" si="387">"非书面答辩"</f>
        <v>非书面答辩</v>
      </c>
      <c r="AC147" t="str">
        <f t="shared" si="343"/>
        <v>学生未填写</v>
      </c>
      <c r="AD147" t="str">
        <f t="shared" si="344"/>
        <v>未填写</v>
      </c>
      <c r="AE147" t="str">
        <f t="shared" si="345"/>
        <v>未签名</v>
      </c>
    </row>
    <row r="148" hidden="1" spans="1:31">
      <c r="A148" t="str">
        <f>"梁泳雅"</f>
        <v>梁泳雅</v>
      </c>
      <c r="B148" t="str">
        <f>"2217212118024"</f>
        <v>2217212118024</v>
      </c>
      <c r="C148" t="s">
        <v>244</v>
      </c>
      <c r="D148" t="str">
        <f t="shared" si="380"/>
        <v>行管22166</v>
      </c>
      <c r="E148" t="str">
        <f t="shared" si="263"/>
        <v>2022</v>
      </c>
      <c r="F148" t="str">
        <f t="shared" si="338"/>
        <v>东莞电研院</v>
      </c>
      <c r="G148" t="str">
        <f t="shared" si="339"/>
        <v>专升本</v>
      </c>
      <c r="H148" t="str">
        <f t="shared" si="381"/>
        <v>行政管理</v>
      </c>
      <c r="I148" t="str">
        <f t="shared" si="335"/>
        <v>函授</v>
      </c>
      <c r="J148" t="str">
        <f t="shared" si="383"/>
        <v>刘倩</v>
      </c>
      <c r="K148" t="s">
        <v>44</v>
      </c>
      <c r="L148" t="s">
        <v>242</v>
      </c>
      <c r="M148" t="s">
        <v>243</v>
      </c>
      <c r="Q148" t="str">
        <f t="shared" si="384"/>
        <v>未选择</v>
      </c>
      <c r="U148" t="str">
        <f t="shared" ref="U148:W148" si="388">"-"</f>
        <v>-</v>
      </c>
      <c r="V148" t="str">
        <f t="shared" si="388"/>
        <v>-</v>
      </c>
      <c r="W148" t="str">
        <f t="shared" si="388"/>
        <v>-</v>
      </c>
      <c r="X148" t="str">
        <f t="shared" si="341"/>
        <v>未填写</v>
      </c>
      <c r="Y148" t="str">
        <f t="shared" ref="Y148:AA148" si="389">"未上传"</f>
        <v>未上传</v>
      </c>
      <c r="Z148" t="str">
        <f t="shared" si="389"/>
        <v>未上传</v>
      </c>
      <c r="AA148" t="str">
        <f t="shared" si="389"/>
        <v>未上传</v>
      </c>
      <c r="AB148" t="str">
        <f t="shared" si="387"/>
        <v>非书面答辩</v>
      </c>
      <c r="AC148" t="str">
        <f t="shared" si="343"/>
        <v>学生未填写</v>
      </c>
      <c r="AD148" t="str">
        <f t="shared" si="344"/>
        <v>未填写</v>
      </c>
      <c r="AE148" t="str">
        <f t="shared" si="345"/>
        <v>未签名</v>
      </c>
    </row>
    <row r="149" hidden="1" spans="1:31">
      <c r="A149" t="str">
        <f>"林景丽"</f>
        <v>林景丽</v>
      </c>
      <c r="B149" t="str">
        <f>"2217212118027"</f>
        <v>2217212118027</v>
      </c>
      <c r="C149" t="s">
        <v>245</v>
      </c>
      <c r="D149" t="str">
        <f t="shared" si="380"/>
        <v>行管22166</v>
      </c>
      <c r="E149" t="str">
        <f t="shared" si="263"/>
        <v>2022</v>
      </c>
      <c r="F149" t="str">
        <f t="shared" si="338"/>
        <v>东莞电研院</v>
      </c>
      <c r="G149" t="str">
        <f t="shared" si="339"/>
        <v>专升本</v>
      </c>
      <c r="H149" t="str">
        <f t="shared" si="381"/>
        <v>行政管理</v>
      </c>
      <c r="I149" t="str">
        <f t="shared" si="335"/>
        <v>函授</v>
      </c>
      <c r="J149" t="str">
        <f t="shared" si="383"/>
        <v>刘倩</v>
      </c>
      <c r="K149" t="s">
        <v>44</v>
      </c>
      <c r="L149" t="s">
        <v>242</v>
      </c>
      <c r="M149" t="s">
        <v>243</v>
      </c>
      <c r="Q149" t="str">
        <f t="shared" si="384"/>
        <v>未选择</v>
      </c>
      <c r="U149" t="str">
        <f t="shared" ref="U149:W149" si="390">"-"</f>
        <v>-</v>
      </c>
      <c r="V149" t="str">
        <f t="shared" si="390"/>
        <v>-</v>
      </c>
      <c r="W149" t="str">
        <f t="shared" si="390"/>
        <v>-</v>
      </c>
      <c r="X149" t="str">
        <f t="shared" si="341"/>
        <v>未填写</v>
      </c>
      <c r="Y149" t="str">
        <f t="shared" ref="Y149:AA149" si="391">"未上传"</f>
        <v>未上传</v>
      </c>
      <c r="Z149" t="str">
        <f t="shared" si="391"/>
        <v>未上传</v>
      </c>
      <c r="AA149" t="str">
        <f t="shared" si="391"/>
        <v>未上传</v>
      </c>
      <c r="AB149" t="str">
        <f t="shared" si="387"/>
        <v>非书面答辩</v>
      </c>
      <c r="AC149" t="str">
        <f t="shared" si="343"/>
        <v>学生未填写</v>
      </c>
      <c r="AD149" t="str">
        <f t="shared" si="344"/>
        <v>未填写</v>
      </c>
      <c r="AE149" t="str">
        <f t="shared" si="345"/>
        <v>未签名</v>
      </c>
    </row>
    <row r="150" hidden="1" spans="1:31">
      <c r="A150" t="str">
        <f>"刘洋"</f>
        <v>刘洋</v>
      </c>
      <c r="B150" t="str">
        <f>"2217212118033"</f>
        <v>2217212118033</v>
      </c>
      <c r="C150" t="s">
        <v>246</v>
      </c>
      <c r="D150" t="str">
        <f t="shared" si="380"/>
        <v>行管22166</v>
      </c>
      <c r="E150" t="str">
        <f t="shared" si="263"/>
        <v>2022</v>
      </c>
      <c r="F150" t="str">
        <f t="shared" si="338"/>
        <v>东莞电研院</v>
      </c>
      <c r="G150" t="str">
        <f t="shared" si="339"/>
        <v>专升本</v>
      </c>
      <c r="H150" t="str">
        <f t="shared" si="381"/>
        <v>行政管理</v>
      </c>
      <c r="I150" t="str">
        <f t="shared" si="335"/>
        <v>函授</v>
      </c>
      <c r="J150" t="str">
        <f t="shared" si="383"/>
        <v>刘倩</v>
      </c>
      <c r="K150" t="s">
        <v>44</v>
      </c>
      <c r="L150" t="s">
        <v>242</v>
      </c>
      <c r="M150" t="s">
        <v>243</v>
      </c>
      <c r="Q150" t="str">
        <f t="shared" si="384"/>
        <v>未选择</v>
      </c>
      <c r="U150" t="str">
        <f t="shared" ref="U150:W150" si="392">"-"</f>
        <v>-</v>
      </c>
      <c r="V150" t="str">
        <f t="shared" si="392"/>
        <v>-</v>
      </c>
      <c r="W150" t="str">
        <f t="shared" si="392"/>
        <v>-</v>
      </c>
      <c r="X150" t="str">
        <f t="shared" si="341"/>
        <v>未填写</v>
      </c>
      <c r="Y150" t="str">
        <f t="shared" ref="Y150:AA150" si="393">"未上传"</f>
        <v>未上传</v>
      </c>
      <c r="Z150" t="str">
        <f t="shared" si="393"/>
        <v>未上传</v>
      </c>
      <c r="AA150" t="str">
        <f t="shared" si="393"/>
        <v>未上传</v>
      </c>
      <c r="AB150" t="str">
        <f t="shared" si="387"/>
        <v>非书面答辩</v>
      </c>
      <c r="AC150" t="str">
        <f t="shared" si="343"/>
        <v>学生未填写</v>
      </c>
      <c r="AD150" t="str">
        <f t="shared" si="344"/>
        <v>未填写</v>
      </c>
      <c r="AE150" t="str">
        <f t="shared" si="345"/>
        <v>未签名</v>
      </c>
    </row>
    <row r="151" hidden="1" spans="1:31">
      <c r="A151" t="str">
        <f>"卢德强"</f>
        <v>卢德强</v>
      </c>
      <c r="B151" t="str">
        <f>"2217212118035"</f>
        <v>2217212118035</v>
      </c>
      <c r="C151" t="s">
        <v>247</v>
      </c>
      <c r="D151" t="str">
        <f t="shared" si="380"/>
        <v>行管22166</v>
      </c>
      <c r="E151" t="str">
        <f t="shared" si="263"/>
        <v>2022</v>
      </c>
      <c r="F151" t="str">
        <f t="shared" si="338"/>
        <v>东莞电研院</v>
      </c>
      <c r="G151" t="str">
        <f t="shared" si="339"/>
        <v>专升本</v>
      </c>
      <c r="H151" t="str">
        <f t="shared" si="381"/>
        <v>行政管理</v>
      </c>
      <c r="I151" t="str">
        <f t="shared" si="335"/>
        <v>函授</v>
      </c>
      <c r="J151" t="str">
        <f t="shared" si="383"/>
        <v>刘倩</v>
      </c>
      <c r="K151" t="s">
        <v>44</v>
      </c>
      <c r="L151" t="s">
        <v>242</v>
      </c>
      <c r="M151" t="s">
        <v>243</v>
      </c>
      <c r="Q151" t="str">
        <f t="shared" si="384"/>
        <v>未选择</v>
      </c>
      <c r="U151" t="str">
        <f t="shared" ref="U151:W151" si="394">"-"</f>
        <v>-</v>
      </c>
      <c r="V151" t="str">
        <f t="shared" si="394"/>
        <v>-</v>
      </c>
      <c r="W151" t="str">
        <f t="shared" si="394"/>
        <v>-</v>
      </c>
      <c r="X151" t="str">
        <f t="shared" si="341"/>
        <v>未填写</v>
      </c>
      <c r="Y151" t="str">
        <f t="shared" ref="Y151:AA151" si="395">"未上传"</f>
        <v>未上传</v>
      </c>
      <c r="Z151" t="str">
        <f t="shared" si="395"/>
        <v>未上传</v>
      </c>
      <c r="AA151" t="str">
        <f t="shared" si="395"/>
        <v>未上传</v>
      </c>
      <c r="AB151" t="str">
        <f t="shared" si="387"/>
        <v>非书面答辩</v>
      </c>
      <c r="AC151" t="str">
        <f t="shared" si="343"/>
        <v>学生未填写</v>
      </c>
      <c r="AD151" t="str">
        <f t="shared" si="344"/>
        <v>未填写</v>
      </c>
      <c r="AE151" t="str">
        <f t="shared" si="345"/>
        <v>未签名</v>
      </c>
    </row>
    <row r="152" hidden="1" spans="1:31">
      <c r="A152" t="str">
        <f>"吴家俊"</f>
        <v>吴家俊</v>
      </c>
      <c r="B152" t="str">
        <f>"2217212118047"</f>
        <v>2217212118047</v>
      </c>
      <c r="C152" t="s">
        <v>248</v>
      </c>
      <c r="D152" t="str">
        <f t="shared" si="380"/>
        <v>行管22166</v>
      </c>
      <c r="E152" t="str">
        <f t="shared" si="263"/>
        <v>2022</v>
      </c>
      <c r="F152" t="str">
        <f t="shared" si="338"/>
        <v>东莞电研院</v>
      </c>
      <c r="G152" t="str">
        <f t="shared" si="339"/>
        <v>专升本</v>
      </c>
      <c r="H152" t="str">
        <f t="shared" si="381"/>
        <v>行政管理</v>
      </c>
      <c r="I152" t="str">
        <f t="shared" si="335"/>
        <v>函授</v>
      </c>
      <c r="J152" t="str">
        <f>"朱小云"</f>
        <v>朱小云</v>
      </c>
      <c r="K152" t="s">
        <v>44</v>
      </c>
      <c r="L152" t="s">
        <v>155</v>
      </c>
      <c r="M152" t="s">
        <v>156</v>
      </c>
      <c r="Q152" t="str">
        <f t="shared" si="384"/>
        <v>未选择</v>
      </c>
      <c r="U152" t="str">
        <f t="shared" ref="U152:W152" si="396">"-"</f>
        <v>-</v>
      </c>
      <c r="V152" t="str">
        <f t="shared" si="396"/>
        <v>-</v>
      </c>
      <c r="W152" t="str">
        <f t="shared" si="396"/>
        <v>-</v>
      </c>
      <c r="X152" t="str">
        <f t="shared" si="341"/>
        <v>未填写</v>
      </c>
      <c r="Y152" t="str">
        <f t="shared" ref="Y152:AA152" si="397">"未上传"</f>
        <v>未上传</v>
      </c>
      <c r="Z152" t="str">
        <f t="shared" si="397"/>
        <v>未上传</v>
      </c>
      <c r="AA152" t="str">
        <f t="shared" si="397"/>
        <v>未上传</v>
      </c>
      <c r="AB152" t="str">
        <f t="shared" si="387"/>
        <v>非书面答辩</v>
      </c>
      <c r="AC152" t="str">
        <f t="shared" si="343"/>
        <v>学生未填写</v>
      </c>
      <c r="AD152" t="str">
        <f t="shared" si="344"/>
        <v>未填写</v>
      </c>
      <c r="AE152" t="str">
        <f t="shared" si="345"/>
        <v>未签名</v>
      </c>
    </row>
    <row r="153" hidden="1" spans="1:31">
      <c r="A153" t="str">
        <f>"吴健文"</f>
        <v>吴健文</v>
      </c>
      <c r="B153" t="str">
        <f>"2217212118048"</f>
        <v>2217212118048</v>
      </c>
      <c r="C153" t="s">
        <v>249</v>
      </c>
      <c r="D153" t="str">
        <f t="shared" si="380"/>
        <v>行管22166</v>
      </c>
      <c r="E153" t="str">
        <f t="shared" si="263"/>
        <v>2022</v>
      </c>
      <c r="F153" t="str">
        <f t="shared" si="338"/>
        <v>东莞电研院</v>
      </c>
      <c r="G153" t="str">
        <f t="shared" si="339"/>
        <v>专升本</v>
      </c>
      <c r="H153" t="str">
        <f t="shared" si="381"/>
        <v>行政管理</v>
      </c>
      <c r="I153" t="str">
        <f t="shared" si="335"/>
        <v>函授</v>
      </c>
      <c r="J153" t="str">
        <f>"朱小云"</f>
        <v>朱小云</v>
      </c>
      <c r="K153" t="s">
        <v>44</v>
      </c>
      <c r="L153" t="s">
        <v>155</v>
      </c>
      <c r="M153" t="s">
        <v>156</v>
      </c>
      <c r="Q153" t="str">
        <f t="shared" si="384"/>
        <v>未选择</v>
      </c>
      <c r="U153" t="str">
        <f t="shared" ref="U153:W153" si="398">"-"</f>
        <v>-</v>
      </c>
      <c r="V153" t="str">
        <f t="shared" si="398"/>
        <v>-</v>
      </c>
      <c r="W153" t="str">
        <f t="shared" si="398"/>
        <v>-</v>
      </c>
      <c r="X153" t="str">
        <f t="shared" si="341"/>
        <v>未填写</v>
      </c>
      <c r="Y153" t="str">
        <f t="shared" ref="Y153:AA153" si="399">"未上传"</f>
        <v>未上传</v>
      </c>
      <c r="Z153" t="str">
        <f t="shared" si="399"/>
        <v>未上传</v>
      </c>
      <c r="AA153" t="str">
        <f t="shared" si="399"/>
        <v>未上传</v>
      </c>
      <c r="AB153" t="str">
        <f t="shared" si="387"/>
        <v>非书面答辩</v>
      </c>
      <c r="AC153" t="str">
        <f t="shared" si="343"/>
        <v>学生未填写</v>
      </c>
      <c r="AD153" t="str">
        <f t="shared" si="344"/>
        <v>未填写</v>
      </c>
      <c r="AE153" t="str">
        <f t="shared" si="345"/>
        <v>未签名</v>
      </c>
    </row>
    <row r="154" hidden="1" spans="1:31">
      <c r="A154" t="str">
        <f>"余家慧"</f>
        <v>余家慧</v>
      </c>
      <c r="B154" t="str">
        <f>"2217212118057"</f>
        <v>2217212118057</v>
      </c>
      <c r="C154" t="s">
        <v>250</v>
      </c>
      <c r="D154" t="str">
        <f t="shared" si="380"/>
        <v>行管22166</v>
      </c>
      <c r="E154" t="str">
        <f t="shared" si="263"/>
        <v>2022</v>
      </c>
      <c r="F154" t="str">
        <f t="shared" si="338"/>
        <v>东莞电研院</v>
      </c>
      <c r="G154" t="str">
        <f t="shared" si="339"/>
        <v>专升本</v>
      </c>
      <c r="H154" t="str">
        <f t="shared" si="381"/>
        <v>行政管理</v>
      </c>
      <c r="I154" t="str">
        <f t="shared" si="335"/>
        <v>函授</v>
      </c>
      <c r="J154" t="str">
        <f>"郭婉儿"</f>
        <v>郭婉儿</v>
      </c>
      <c r="K154" t="s">
        <v>44</v>
      </c>
      <c r="L154" t="s">
        <v>251</v>
      </c>
      <c r="M154" t="s">
        <v>252</v>
      </c>
      <c r="Q154" t="str">
        <f t="shared" si="384"/>
        <v>未选择</v>
      </c>
      <c r="U154" t="str">
        <f t="shared" ref="U154:W154" si="400">"-"</f>
        <v>-</v>
      </c>
      <c r="V154" t="str">
        <f t="shared" si="400"/>
        <v>-</v>
      </c>
      <c r="W154" t="str">
        <f t="shared" si="400"/>
        <v>-</v>
      </c>
      <c r="X154" t="str">
        <f t="shared" si="341"/>
        <v>未填写</v>
      </c>
      <c r="Y154" t="str">
        <f t="shared" ref="Y154:AA154" si="401">"未上传"</f>
        <v>未上传</v>
      </c>
      <c r="Z154" t="str">
        <f t="shared" si="401"/>
        <v>未上传</v>
      </c>
      <c r="AA154" t="str">
        <f t="shared" si="401"/>
        <v>未上传</v>
      </c>
      <c r="AB154" t="str">
        <f t="shared" si="387"/>
        <v>非书面答辩</v>
      </c>
      <c r="AC154" t="str">
        <f t="shared" si="343"/>
        <v>学生未填写</v>
      </c>
      <c r="AD154" t="str">
        <f t="shared" si="344"/>
        <v>未填写</v>
      </c>
      <c r="AE154" t="str">
        <f t="shared" si="345"/>
        <v>未签名</v>
      </c>
    </row>
    <row r="155" hidden="1" spans="1:31">
      <c r="A155" t="str">
        <f>"张姿霖"</f>
        <v>张姿霖</v>
      </c>
      <c r="B155" t="str">
        <f>"2217212118060"</f>
        <v>2217212118060</v>
      </c>
      <c r="C155" t="s">
        <v>253</v>
      </c>
      <c r="D155" t="str">
        <f t="shared" si="380"/>
        <v>行管22166</v>
      </c>
      <c r="E155" t="str">
        <f t="shared" si="263"/>
        <v>2022</v>
      </c>
      <c r="F155" t="str">
        <f t="shared" si="338"/>
        <v>东莞电研院</v>
      </c>
      <c r="G155" t="str">
        <f t="shared" si="339"/>
        <v>专升本</v>
      </c>
      <c r="H155" t="str">
        <f t="shared" si="381"/>
        <v>行政管理</v>
      </c>
      <c r="I155" t="str">
        <f t="shared" si="335"/>
        <v>函授</v>
      </c>
      <c r="J155" t="str">
        <f>"郭婉儿"</f>
        <v>郭婉儿</v>
      </c>
      <c r="K155" t="s">
        <v>44</v>
      </c>
      <c r="L155" t="s">
        <v>251</v>
      </c>
      <c r="M155" t="s">
        <v>252</v>
      </c>
      <c r="Q155" t="str">
        <f t="shared" si="384"/>
        <v>未选择</v>
      </c>
      <c r="U155" t="str">
        <f t="shared" ref="U155:W155" si="402">"-"</f>
        <v>-</v>
      </c>
      <c r="V155" t="str">
        <f t="shared" si="402"/>
        <v>-</v>
      </c>
      <c r="W155" t="str">
        <f t="shared" si="402"/>
        <v>-</v>
      </c>
      <c r="X155" t="str">
        <f t="shared" si="341"/>
        <v>未填写</v>
      </c>
      <c r="Y155" t="str">
        <f t="shared" ref="Y155:AA155" si="403">"未上传"</f>
        <v>未上传</v>
      </c>
      <c r="Z155" t="str">
        <f t="shared" si="403"/>
        <v>未上传</v>
      </c>
      <c r="AA155" t="str">
        <f t="shared" si="403"/>
        <v>未上传</v>
      </c>
      <c r="AB155" t="str">
        <f t="shared" si="387"/>
        <v>非书面答辩</v>
      </c>
      <c r="AC155" t="str">
        <f t="shared" si="343"/>
        <v>学生未填写</v>
      </c>
      <c r="AD155" t="str">
        <f t="shared" si="344"/>
        <v>未填写</v>
      </c>
      <c r="AE155" t="str">
        <f t="shared" si="345"/>
        <v>未签名</v>
      </c>
    </row>
    <row r="156" spans="1:31">
      <c r="A156" t="str">
        <f>"陈浩锋"</f>
        <v>陈浩锋</v>
      </c>
      <c r="B156" t="str">
        <f>"2217212119002"</f>
        <v>2217212119002</v>
      </c>
      <c r="C156" t="s">
        <v>254</v>
      </c>
      <c r="D156" t="str">
        <f t="shared" ref="D156:D161" si="404">"计机科技22216"</f>
        <v>计机科技22216</v>
      </c>
      <c r="E156" t="str">
        <f t="shared" si="263"/>
        <v>2022</v>
      </c>
      <c r="F156" t="str">
        <f t="shared" si="338"/>
        <v>东莞电研院</v>
      </c>
      <c r="G156" t="str">
        <f t="shared" si="339"/>
        <v>专升本</v>
      </c>
      <c r="H156" t="str">
        <f t="shared" ref="H156:H161" si="405">"计算机科学与技术"</f>
        <v>计算机科学与技术</v>
      </c>
      <c r="I156" t="str">
        <f t="shared" si="335"/>
        <v>函授</v>
      </c>
      <c r="J156" t="str">
        <f t="shared" ref="J156:J160" si="406">"黄鑫"</f>
        <v>黄鑫</v>
      </c>
      <c r="K156" t="s">
        <v>32</v>
      </c>
      <c r="L156" t="s">
        <v>165</v>
      </c>
      <c r="M156" t="s">
        <v>166</v>
      </c>
      <c r="Q156" t="str">
        <f t="shared" si="384"/>
        <v>未选择</v>
      </c>
      <c r="U156" t="str">
        <f t="shared" ref="U156:W156" si="407">"-"</f>
        <v>-</v>
      </c>
      <c r="V156" t="str">
        <f t="shared" si="407"/>
        <v>-</v>
      </c>
      <c r="W156" t="str">
        <f t="shared" si="407"/>
        <v>-</v>
      </c>
      <c r="X156" t="str">
        <f t="shared" si="341"/>
        <v>未填写</v>
      </c>
      <c r="Y156" t="str">
        <f t="shared" ref="Y156:AA156" si="408">"未上传"</f>
        <v>未上传</v>
      </c>
      <c r="Z156" t="str">
        <f t="shared" si="408"/>
        <v>未上传</v>
      </c>
      <c r="AA156" t="str">
        <f t="shared" si="408"/>
        <v>未上传</v>
      </c>
      <c r="AB156" t="str">
        <f t="shared" si="387"/>
        <v>非书面答辩</v>
      </c>
      <c r="AC156" t="str">
        <f t="shared" si="343"/>
        <v>学生未填写</v>
      </c>
      <c r="AD156" t="str">
        <f t="shared" si="344"/>
        <v>未填写</v>
      </c>
      <c r="AE156" t="str">
        <f t="shared" si="345"/>
        <v>未签名</v>
      </c>
    </row>
    <row r="157" spans="1:31">
      <c r="A157" t="str">
        <f>"陈科旭"</f>
        <v>陈科旭</v>
      </c>
      <c r="B157" t="str">
        <f>"2217212119003"</f>
        <v>2217212119003</v>
      </c>
      <c r="C157" t="s">
        <v>255</v>
      </c>
      <c r="D157" t="str">
        <f t="shared" si="404"/>
        <v>计机科技22216</v>
      </c>
      <c r="E157" t="str">
        <f t="shared" si="263"/>
        <v>2022</v>
      </c>
      <c r="F157" t="str">
        <f t="shared" si="338"/>
        <v>东莞电研院</v>
      </c>
      <c r="G157" t="str">
        <f t="shared" si="339"/>
        <v>专升本</v>
      </c>
      <c r="H157" t="str">
        <f t="shared" si="405"/>
        <v>计算机科学与技术</v>
      </c>
      <c r="I157" t="str">
        <f t="shared" si="335"/>
        <v>函授</v>
      </c>
      <c r="J157" t="str">
        <f t="shared" si="406"/>
        <v>黄鑫</v>
      </c>
      <c r="K157" t="s">
        <v>32</v>
      </c>
      <c r="L157" t="s">
        <v>165</v>
      </c>
      <c r="M157" t="s">
        <v>166</v>
      </c>
      <c r="Q157" t="str">
        <f t="shared" si="384"/>
        <v>未选择</v>
      </c>
      <c r="U157" t="str">
        <f t="shared" ref="U157:W157" si="409">"-"</f>
        <v>-</v>
      </c>
      <c r="V157" t="str">
        <f t="shared" si="409"/>
        <v>-</v>
      </c>
      <c r="W157" t="str">
        <f t="shared" si="409"/>
        <v>-</v>
      </c>
      <c r="X157" t="str">
        <f t="shared" si="341"/>
        <v>未填写</v>
      </c>
      <c r="Y157" t="str">
        <f t="shared" ref="Y157:AA157" si="410">"未上传"</f>
        <v>未上传</v>
      </c>
      <c r="Z157" t="str">
        <f t="shared" si="410"/>
        <v>未上传</v>
      </c>
      <c r="AA157" t="str">
        <f t="shared" si="410"/>
        <v>未上传</v>
      </c>
      <c r="AB157" t="str">
        <f t="shared" si="387"/>
        <v>非书面答辩</v>
      </c>
      <c r="AC157" t="str">
        <f t="shared" si="343"/>
        <v>学生未填写</v>
      </c>
      <c r="AD157" t="str">
        <f t="shared" si="344"/>
        <v>未填写</v>
      </c>
      <c r="AE157" t="str">
        <f t="shared" si="345"/>
        <v>未签名</v>
      </c>
    </row>
    <row r="158" spans="1:31">
      <c r="A158" t="str">
        <f>"黄建雄"</f>
        <v>黄建雄</v>
      </c>
      <c r="B158" t="str">
        <f>"2217212119008"</f>
        <v>2217212119008</v>
      </c>
      <c r="C158" t="s">
        <v>256</v>
      </c>
      <c r="D158" t="str">
        <f t="shared" si="404"/>
        <v>计机科技22216</v>
      </c>
      <c r="E158" t="str">
        <f t="shared" si="263"/>
        <v>2022</v>
      </c>
      <c r="F158" t="str">
        <f t="shared" si="338"/>
        <v>东莞电研院</v>
      </c>
      <c r="G158" t="str">
        <f t="shared" si="339"/>
        <v>专升本</v>
      </c>
      <c r="H158" t="str">
        <f t="shared" si="405"/>
        <v>计算机科学与技术</v>
      </c>
      <c r="I158" t="str">
        <f t="shared" si="335"/>
        <v>函授</v>
      </c>
      <c r="J158" t="str">
        <f t="shared" si="406"/>
        <v>黄鑫</v>
      </c>
      <c r="K158" t="s">
        <v>32</v>
      </c>
      <c r="L158" t="s">
        <v>165</v>
      </c>
      <c r="M158" t="s">
        <v>166</v>
      </c>
      <c r="Q158" t="str">
        <f t="shared" si="384"/>
        <v>未选择</v>
      </c>
      <c r="U158" t="str">
        <f t="shared" ref="U158:W158" si="411">"-"</f>
        <v>-</v>
      </c>
      <c r="V158" t="str">
        <f t="shared" si="411"/>
        <v>-</v>
      </c>
      <c r="W158" t="str">
        <f t="shared" si="411"/>
        <v>-</v>
      </c>
      <c r="X158" t="str">
        <f t="shared" si="341"/>
        <v>未填写</v>
      </c>
      <c r="Y158" t="str">
        <f t="shared" ref="Y158:AA158" si="412">"未上传"</f>
        <v>未上传</v>
      </c>
      <c r="Z158" t="str">
        <f t="shared" si="412"/>
        <v>未上传</v>
      </c>
      <c r="AA158" t="str">
        <f t="shared" si="412"/>
        <v>未上传</v>
      </c>
      <c r="AB158" t="str">
        <f t="shared" si="387"/>
        <v>非书面答辩</v>
      </c>
      <c r="AC158" t="str">
        <f t="shared" si="343"/>
        <v>学生未填写</v>
      </c>
      <c r="AD158" t="str">
        <f t="shared" si="344"/>
        <v>未填写</v>
      </c>
      <c r="AE158" t="str">
        <f t="shared" si="345"/>
        <v>未签名</v>
      </c>
    </row>
    <row r="159" spans="1:31">
      <c r="A159" t="str">
        <f>"黄劲"</f>
        <v>黄劲</v>
      </c>
      <c r="B159" t="str">
        <f>"2217212119009"</f>
        <v>2217212119009</v>
      </c>
      <c r="C159" t="s">
        <v>257</v>
      </c>
      <c r="D159" t="str">
        <f t="shared" si="404"/>
        <v>计机科技22216</v>
      </c>
      <c r="E159" t="str">
        <f t="shared" si="263"/>
        <v>2022</v>
      </c>
      <c r="F159" t="str">
        <f t="shared" si="338"/>
        <v>东莞电研院</v>
      </c>
      <c r="G159" t="str">
        <f t="shared" si="339"/>
        <v>专升本</v>
      </c>
      <c r="H159" t="str">
        <f t="shared" si="405"/>
        <v>计算机科学与技术</v>
      </c>
      <c r="I159" t="str">
        <f t="shared" si="335"/>
        <v>函授</v>
      </c>
      <c r="J159" t="str">
        <f t="shared" si="406"/>
        <v>黄鑫</v>
      </c>
      <c r="K159" t="s">
        <v>32</v>
      </c>
      <c r="L159" t="s">
        <v>165</v>
      </c>
      <c r="M159" t="s">
        <v>166</v>
      </c>
      <c r="Q159" t="str">
        <f t="shared" si="384"/>
        <v>未选择</v>
      </c>
      <c r="U159" t="str">
        <f t="shared" ref="U159:W159" si="413">"-"</f>
        <v>-</v>
      </c>
      <c r="V159" t="str">
        <f t="shared" si="413"/>
        <v>-</v>
      </c>
      <c r="W159" t="str">
        <f t="shared" si="413"/>
        <v>-</v>
      </c>
      <c r="X159" t="str">
        <f t="shared" si="341"/>
        <v>未填写</v>
      </c>
      <c r="Y159" t="str">
        <f t="shared" ref="Y159:AA159" si="414">"未上传"</f>
        <v>未上传</v>
      </c>
      <c r="Z159" t="str">
        <f t="shared" si="414"/>
        <v>未上传</v>
      </c>
      <c r="AA159" t="str">
        <f t="shared" si="414"/>
        <v>未上传</v>
      </c>
      <c r="AB159" t="str">
        <f t="shared" si="387"/>
        <v>非书面答辩</v>
      </c>
      <c r="AC159" t="str">
        <f t="shared" si="343"/>
        <v>学生未填写</v>
      </c>
      <c r="AD159" t="str">
        <f t="shared" si="344"/>
        <v>未填写</v>
      </c>
      <c r="AE159" t="str">
        <f t="shared" si="345"/>
        <v>未签名</v>
      </c>
    </row>
    <row r="160" spans="1:31">
      <c r="A160" t="str">
        <f>"刘金锋"</f>
        <v>刘金锋</v>
      </c>
      <c r="B160" t="str">
        <f>"2217212119014"</f>
        <v>2217212119014</v>
      </c>
      <c r="C160" t="s">
        <v>258</v>
      </c>
      <c r="D160" t="str">
        <f t="shared" si="404"/>
        <v>计机科技22216</v>
      </c>
      <c r="E160" t="str">
        <f t="shared" si="263"/>
        <v>2022</v>
      </c>
      <c r="F160" t="str">
        <f t="shared" si="338"/>
        <v>东莞电研院</v>
      </c>
      <c r="G160" t="str">
        <f t="shared" si="339"/>
        <v>专升本</v>
      </c>
      <c r="H160" t="str">
        <f t="shared" si="405"/>
        <v>计算机科学与技术</v>
      </c>
      <c r="I160" t="str">
        <f t="shared" si="335"/>
        <v>函授</v>
      </c>
      <c r="J160" t="str">
        <f t="shared" si="406"/>
        <v>黄鑫</v>
      </c>
      <c r="K160" t="s">
        <v>32</v>
      </c>
      <c r="L160" t="s">
        <v>165</v>
      </c>
      <c r="M160" t="s">
        <v>166</v>
      </c>
      <c r="Q160" t="str">
        <f t="shared" si="384"/>
        <v>未选择</v>
      </c>
      <c r="U160" t="str">
        <f t="shared" ref="U160:W160" si="415">"-"</f>
        <v>-</v>
      </c>
      <c r="V160" t="str">
        <f t="shared" si="415"/>
        <v>-</v>
      </c>
      <c r="W160" t="str">
        <f t="shared" si="415"/>
        <v>-</v>
      </c>
      <c r="X160" t="str">
        <f t="shared" si="341"/>
        <v>未填写</v>
      </c>
      <c r="Y160" t="str">
        <f t="shared" ref="Y160:AA160" si="416">"未上传"</f>
        <v>未上传</v>
      </c>
      <c r="Z160" t="str">
        <f t="shared" si="416"/>
        <v>未上传</v>
      </c>
      <c r="AA160" t="str">
        <f t="shared" si="416"/>
        <v>未上传</v>
      </c>
      <c r="AB160" t="str">
        <f t="shared" si="387"/>
        <v>非书面答辩</v>
      </c>
      <c r="AC160" t="str">
        <f t="shared" si="343"/>
        <v>学生未填写</v>
      </c>
      <c r="AD160" t="str">
        <f t="shared" si="344"/>
        <v>未填写</v>
      </c>
      <c r="AE160" t="str">
        <f t="shared" si="345"/>
        <v>未签名</v>
      </c>
    </row>
    <row r="161" spans="1:31">
      <c r="A161" t="str">
        <f>"罗雄丰"</f>
        <v>罗雄丰</v>
      </c>
      <c r="B161" t="str">
        <f>"2217212119017"</f>
        <v>2217212119017</v>
      </c>
      <c r="C161" t="s">
        <v>259</v>
      </c>
      <c r="D161" t="str">
        <f t="shared" si="404"/>
        <v>计机科技22216</v>
      </c>
      <c r="E161" t="str">
        <f t="shared" si="263"/>
        <v>2022</v>
      </c>
      <c r="F161" t="str">
        <f t="shared" si="338"/>
        <v>东莞电研院</v>
      </c>
      <c r="G161" t="str">
        <f t="shared" si="339"/>
        <v>专升本</v>
      </c>
      <c r="H161" t="str">
        <f t="shared" si="405"/>
        <v>计算机科学与技术</v>
      </c>
      <c r="I161" t="str">
        <f t="shared" si="335"/>
        <v>函授</v>
      </c>
      <c r="J161" t="str">
        <f>"肖宜"</f>
        <v>肖宜</v>
      </c>
      <c r="K161" t="s">
        <v>32</v>
      </c>
      <c r="L161" t="s">
        <v>260</v>
      </c>
      <c r="M161" t="s">
        <v>261</v>
      </c>
      <c r="Q161" t="str">
        <f t="shared" si="384"/>
        <v>未选择</v>
      </c>
      <c r="U161" t="str">
        <f t="shared" ref="U161:W161" si="417">"-"</f>
        <v>-</v>
      </c>
      <c r="V161" t="str">
        <f t="shared" si="417"/>
        <v>-</v>
      </c>
      <c r="W161" t="str">
        <f t="shared" si="417"/>
        <v>-</v>
      </c>
      <c r="X161" t="str">
        <f t="shared" si="341"/>
        <v>未填写</v>
      </c>
      <c r="Y161" t="str">
        <f t="shared" ref="Y161:AA161" si="418">"未上传"</f>
        <v>未上传</v>
      </c>
      <c r="Z161" t="str">
        <f t="shared" si="418"/>
        <v>未上传</v>
      </c>
      <c r="AA161" t="str">
        <f t="shared" si="418"/>
        <v>未上传</v>
      </c>
      <c r="AB161" t="str">
        <f t="shared" si="387"/>
        <v>非书面答辩</v>
      </c>
      <c r="AC161" t="str">
        <f t="shared" si="343"/>
        <v>学生未填写</v>
      </c>
      <c r="AD161" t="str">
        <f t="shared" si="344"/>
        <v>未填写</v>
      </c>
      <c r="AE161" t="str">
        <f t="shared" si="345"/>
        <v>未签名</v>
      </c>
    </row>
    <row r="162" spans="1:31">
      <c r="A162" t="str">
        <f>"何俊"</f>
        <v>何俊</v>
      </c>
      <c r="B162" t="str">
        <f>"2217212120005"</f>
        <v>2217212120005</v>
      </c>
      <c r="C162" t="s">
        <v>262</v>
      </c>
      <c r="D162" t="str">
        <f t="shared" ref="D162:D166" si="419">"电气22023"</f>
        <v>电气22023</v>
      </c>
      <c r="E162" t="str">
        <f t="shared" si="263"/>
        <v>2022</v>
      </c>
      <c r="F162" t="str">
        <f t="shared" si="338"/>
        <v>东莞电研院</v>
      </c>
      <c r="G162" t="str">
        <f t="shared" si="339"/>
        <v>专升本</v>
      </c>
      <c r="H162" t="str">
        <f t="shared" ref="H162:H166" si="420">"电气工程及其自动化"</f>
        <v>电气工程及其自动化</v>
      </c>
      <c r="I162" t="str">
        <f t="shared" si="335"/>
        <v>函授</v>
      </c>
      <c r="J162" t="str">
        <f>"何敏娜"</f>
        <v>何敏娜</v>
      </c>
      <c r="K162" t="s">
        <v>32</v>
      </c>
      <c r="L162" t="s">
        <v>36</v>
      </c>
      <c r="M162" t="s">
        <v>37</v>
      </c>
      <c r="Q162" t="str">
        <f t="shared" si="384"/>
        <v>未选择</v>
      </c>
      <c r="U162" t="str">
        <f t="shared" ref="U162:W162" si="421">"-"</f>
        <v>-</v>
      </c>
      <c r="V162" t="str">
        <f t="shared" si="421"/>
        <v>-</v>
      </c>
      <c r="W162" t="str">
        <f t="shared" si="421"/>
        <v>-</v>
      </c>
      <c r="X162" t="str">
        <f t="shared" si="341"/>
        <v>未填写</v>
      </c>
      <c r="Y162" t="str">
        <f t="shared" ref="Y162:AA162" si="422">"未上传"</f>
        <v>未上传</v>
      </c>
      <c r="Z162" t="str">
        <f t="shared" si="422"/>
        <v>未上传</v>
      </c>
      <c r="AA162" t="str">
        <f t="shared" si="422"/>
        <v>未上传</v>
      </c>
      <c r="AB162" t="str">
        <f t="shared" si="387"/>
        <v>非书面答辩</v>
      </c>
      <c r="AC162" t="str">
        <f t="shared" si="343"/>
        <v>学生未填写</v>
      </c>
      <c r="AD162" t="str">
        <f t="shared" si="344"/>
        <v>未填写</v>
      </c>
      <c r="AE162" t="str">
        <f t="shared" si="345"/>
        <v>未签名</v>
      </c>
    </row>
    <row r="163" spans="1:31">
      <c r="A163" t="str">
        <f>"刘俊良"</f>
        <v>刘俊良</v>
      </c>
      <c r="B163" t="str">
        <f>"2217212120010"</f>
        <v>2217212120010</v>
      </c>
      <c r="C163" t="s">
        <v>263</v>
      </c>
      <c r="D163" t="str">
        <f t="shared" si="419"/>
        <v>电气22023</v>
      </c>
      <c r="E163" t="str">
        <f t="shared" si="263"/>
        <v>2022</v>
      </c>
      <c r="F163" t="str">
        <f t="shared" si="338"/>
        <v>东莞电研院</v>
      </c>
      <c r="G163" t="str">
        <f t="shared" si="339"/>
        <v>专升本</v>
      </c>
      <c r="H163" t="str">
        <f t="shared" si="420"/>
        <v>电气工程及其自动化</v>
      </c>
      <c r="I163" t="str">
        <f t="shared" si="335"/>
        <v>函授</v>
      </c>
      <c r="J163" t="str">
        <f t="shared" ref="J163:J166" si="423">"栾强厚"</f>
        <v>栾强厚</v>
      </c>
      <c r="K163" t="s">
        <v>32</v>
      </c>
      <c r="L163" t="s">
        <v>264</v>
      </c>
      <c r="M163" t="s">
        <v>265</v>
      </c>
      <c r="Q163" t="str">
        <f t="shared" si="384"/>
        <v>未选择</v>
      </c>
      <c r="U163" t="str">
        <f t="shared" ref="U163:W163" si="424">"-"</f>
        <v>-</v>
      </c>
      <c r="V163" t="str">
        <f t="shared" si="424"/>
        <v>-</v>
      </c>
      <c r="W163" t="str">
        <f t="shared" si="424"/>
        <v>-</v>
      </c>
      <c r="X163" t="str">
        <f t="shared" si="341"/>
        <v>未填写</v>
      </c>
      <c r="Y163" t="str">
        <f t="shared" ref="Y163:AA163" si="425">"未上传"</f>
        <v>未上传</v>
      </c>
      <c r="Z163" t="str">
        <f t="shared" si="425"/>
        <v>未上传</v>
      </c>
      <c r="AA163" t="str">
        <f t="shared" si="425"/>
        <v>未上传</v>
      </c>
      <c r="AB163" t="str">
        <f t="shared" si="387"/>
        <v>非书面答辩</v>
      </c>
      <c r="AC163" t="str">
        <f t="shared" si="343"/>
        <v>学生未填写</v>
      </c>
      <c r="AD163" t="str">
        <f t="shared" si="344"/>
        <v>未填写</v>
      </c>
      <c r="AE163" t="str">
        <f t="shared" si="345"/>
        <v>未签名</v>
      </c>
    </row>
    <row r="164" spans="1:31">
      <c r="A164" t="str">
        <f>"杨珊珊"</f>
        <v>杨珊珊</v>
      </c>
      <c r="B164" t="str">
        <f>"2217212120016"</f>
        <v>2217212120016</v>
      </c>
      <c r="C164" t="s">
        <v>266</v>
      </c>
      <c r="D164" t="str">
        <f t="shared" si="419"/>
        <v>电气22023</v>
      </c>
      <c r="E164" t="str">
        <f t="shared" ref="E164:E197" si="426">"2022"</f>
        <v>2022</v>
      </c>
      <c r="F164" t="str">
        <f t="shared" si="338"/>
        <v>东莞电研院</v>
      </c>
      <c r="G164" t="str">
        <f t="shared" si="339"/>
        <v>专升本</v>
      </c>
      <c r="H164" t="str">
        <f t="shared" si="420"/>
        <v>电气工程及其自动化</v>
      </c>
      <c r="I164" t="str">
        <f t="shared" si="335"/>
        <v>函授</v>
      </c>
      <c r="J164" t="str">
        <f t="shared" si="423"/>
        <v>栾强厚</v>
      </c>
      <c r="K164" t="s">
        <v>32</v>
      </c>
      <c r="L164" t="s">
        <v>264</v>
      </c>
      <c r="M164" t="s">
        <v>265</v>
      </c>
      <c r="Q164" t="str">
        <f t="shared" si="384"/>
        <v>未选择</v>
      </c>
      <c r="U164" t="str">
        <f t="shared" ref="U164:W164" si="427">"-"</f>
        <v>-</v>
      </c>
      <c r="V164" t="str">
        <f t="shared" si="427"/>
        <v>-</v>
      </c>
      <c r="W164" t="str">
        <f t="shared" si="427"/>
        <v>-</v>
      </c>
      <c r="X164" t="str">
        <f t="shared" si="341"/>
        <v>未填写</v>
      </c>
      <c r="Y164" t="str">
        <f t="shared" ref="Y164:AA164" si="428">"未上传"</f>
        <v>未上传</v>
      </c>
      <c r="Z164" t="str">
        <f t="shared" si="428"/>
        <v>未上传</v>
      </c>
      <c r="AA164" t="str">
        <f t="shared" si="428"/>
        <v>未上传</v>
      </c>
      <c r="AB164" t="str">
        <f t="shared" si="387"/>
        <v>非书面答辩</v>
      </c>
      <c r="AC164" t="str">
        <f t="shared" si="343"/>
        <v>学生未填写</v>
      </c>
      <c r="AD164" t="str">
        <f t="shared" si="344"/>
        <v>未填写</v>
      </c>
      <c r="AE164" t="str">
        <f t="shared" si="345"/>
        <v>未签名</v>
      </c>
    </row>
    <row r="165" spans="1:31">
      <c r="A165" t="str">
        <f>"郑鸿盛"</f>
        <v>郑鸿盛</v>
      </c>
      <c r="B165" t="str">
        <f>"2217212120017"</f>
        <v>2217212120017</v>
      </c>
      <c r="C165" t="s">
        <v>267</v>
      </c>
      <c r="D165" t="str">
        <f t="shared" si="419"/>
        <v>电气22023</v>
      </c>
      <c r="E165" t="str">
        <f t="shared" si="426"/>
        <v>2022</v>
      </c>
      <c r="F165" t="str">
        <f t="shared" si="338"/>
        <v>东莞电研院</v>
      </c>
      <c r="G165" t="str">
        <f t="shared" si="339"/>
        <v>专升本</v>
      </c>
      <c r="H165" t="str">
        <f t="shared" si="420"/>
        <v>电气工程及其自动化</v>
      </c>
      <c r="I165" t="str">
        <f t="shared" si="335"/>
        <v>函授</v>
      </c>
      <c r="J165" t="str">
        <f t="shared" si="423"/>
        <v>栾强厚</v>
      </c>
      <c r="K165" t="s">
        <v>32</v>
      </c>
      <c r="L165" t="s">
        <v>264</v>
      </c>
      <c r="M165" t="s">
        <v>265</v>
      </c>
      <c r="Q165" t="str">
        <f t="shared" si="384"/>
        <v>未选择</v>
      </c>
      <c r="U165" t="str">
        <f t="shared" ref="U165:W165" si="429">"-"</f>
        <v>-</v>
      </c>
      <c r="V165" t="str">
        <f t="shared" si="429"/>
        <v>-</v>
      </c>
      <c r="W165" t="str">
        <f t="shared" si="429"/>
        <v>-</v>
      </c>
      <c r="X165" t="str">
        <f t="shared" si="341"/>
        <v>未填写</v>
      </c>
      <c r="Y165" t="str">
        <f t="shared" ref="Y165:AA165" si="430">"未上传"</f>
        <v>未上传</v>
      </c>
      <c r="Z165" t="str">
        <f t="shared" si="430"/>
        <v>未上传</v>
      </c>
      <c r="AA165" t="str">
        <f t="shared" si="430"/>
        <v>未上传</v>
      </c>
      <c r="AB165" t="str">
        <f t="shared" si="387"/>
        <v>非书面答辩</v>
      </c>
      <c r="AC165" t="str">
        <f t="shared" si="343"/>
        <v>学生未填写</v>
      </c>
      <c r="AD165" t="str">
        <f t="shared" si="344"/>
        <v>未填写</v>
      </c>
      <c r="AE165" t="str">
        <f t="shared" si="345"/>
        <v>未签名</v>
      </c>
    </row>
    <row r="166" spans="1:31">
      <c r="A166" t="str">
        <f>"周静文"</f>
        <v>周静文</v>
      </c>
      <c r="B166" t="str">
        <f>"2217212120018"</f>
        <v>2217212120018</v>
      </c>
      <c r="C166" t="s">
        <v>268</v>
      </c>
      <c r="D166" t="str">
        <f t="shared" si="419"/>
        <v>电气22023</v>
      </c>
      <c r="E166" t="str">
        <f t="shared" si="426"/>
        <v>2022</v>
      </c>
      <c r="F166" t="str">
        <f t="shared" si="338"/>
        <v>东莞电研院</v>
      </c>
      <c r="G166" t="str">
        <f t="shared" si="339"/>
        <v>专升本</v>
      </c>
      <c r="H166" t="str">
        <f t="shared" si="420"/>
        <v>电气工程及其自动化</v>
      </c>
      <c r="I166" t="str">
        <f t="shared" si="335"/>
        <v>函授</v>
      </c>
      <c r="J166" t="str">
        <f t="shared" si="423"/>
        <v>栾强厚</v>
      </c>
      <c r="K166" t="s">
        <v>32</v>
      </c>
      <c r="L166" t="s">
        <v>264</v>
      </c>
      <c r="M166" t="s">
        <v>265</v>
      </c>
      <c r="Q166" t="str">
        <f t="shared" si="384"/>
        <v>未选择</v>
      </c>
      <c r="U166" t="str">
        <f t="shared" ref="U166:W166" si="431">"-"</f>
        <v>-</v>
      </c>
      <c r="V166" t="str">
        <f t="shared" si="431"/>
        <v>-</v>
      </c>
      <c r="W166" t="str">
        <f t="shared" si="431"/>
        <v>-</v>
      </c>
      <c r="X166" t="str">
        <f t="shared" si="341"/>
        <v>未填写</v>
      </c>
      <c r="Y166" t="str">
        <f t="shared" ref="Y166:AA166" si="432">"未上传"</f>
        <v>未上传</v>
      </c>
      <c r="Z166" t="str">
        <f t="shared" si="432"/>
        <v>未上传</v>
      </c>
      <c r="AA166" t="str">
        <f t="shared" si="432"/>
        <v>未上传</v>
      </c>
      <c r="AB166" t="str">
        <f t="shared" si="387"/>
        <v>非书面答辩</v>
      </c>
      <c r="AC166" t="str">
        <f t="shared" si="343"/>
        <v>学生未填写</v>
      </c>
      <c r="AD166" t="str">
        <f t="shared" si="344"/>
        <v>未填写</v>
      </c>
      <c r="AE166" t="str">
        <f t="shared" si="345"/>
        <v>未签名</v>
      </c>
    </row>
    <row r="167" spans="1:31">
      <c r="A167" t="str">
        <f>"覃仁春"</f>
        <v>覃仁春</v>
      </c>
      <c r="B167" t="str">
        <f>"2217212121005"</f>
        <v>2217212121005</v>
      </c>
      <c r="C167" t="s">
        <v>269</v>
      </c>
      <c r="D167" t="str">
        <f>"电商22057"</f>
        <v>电商22057</v>
      </c>
      <c r="E167" t="str">
        <f t="shared" si="426"/>
        <v>2022</v>
      </c>
      <c r="F167" t="str">
        <f t="shared" si="338"/>
        <v>东莞电研院</v>
      </c>
      <c r="G167" t="str">
        <f t="shared" si="339"/>
        <v>专升本</v>
      </c>
      <c r="H167" t="str">
        <f>"电子商务"</f>
        <v>电子商务</v>
      </c>
      <c r="I167" t="str">
        <f t="shared" si="335"/>
        <v>函授</v>
      </c>
      <c r="J167" t="str">
        <f>"莫日华"</f>
        <v>莫日华</v>
      </c>
      <c r="K167" t="s">
        <v>32</v>
      </c>
      <c r="L167" t="s">
        <v>39</v>
      </c>
      <c r="M167" t="s">
        <v>40</v>
      </c>
      <c r="Q167" t="str">
        <f t="shared" si="384"/>
        <v>未选择</v>
      </c>
      <c r="U167" t="str">
        <f t="shared" ref="U167:W167" si="433">"-"</f>
        <v>-</v>
      </c>
      <c r="V167" t="str">
        <f t="shared" si="433"/>
        <v>-</v>
      </c>
      <c r="W167" t="str">
        <f t="shared" si="433"/>
        <v>-</v>
      </c>
      <c r="X167" t="str">
        <f t="shared" si="341"/>
        <v>未填写</v>
      </c>
      <c r="Y167" t="str">
        <f t="shared" ref="Y167:AA167" si="434">"未上传"</f>
        <v>未上传</v>
      </c>
      <c r="Z167" t="str">
        <f t="shared" si="434"/>
        <v>未上传</v>
      </c>
      <c r="AA167" t="str">
        <f t="shared" si="434"/>
        <v>未上传</v>
      </c>
      <c r="AB167" t="str">
        <f t="shared" si="387"/>
        <v>非书面答辩</v>
      </c>
      <c r="AC167" t="str">
        <f t="shared" si="343"/>
        <v>学生未填写</v>
      </c>
      <c r="AD167" t="str">
        <f t="shared" si="344"/>
        <v>未填写</v>
      </c>
      <c r="AE167" t="str">
        <f t="shared" si="345"/>
        <v>未签名</v>
      </c>
    </row>
    <row r="168" spans="1:31">
      <c r="A168" t="str">
        <f>"张俊文"</f>
        <v>张俊文</v>
      </c>
      <c r="B168" t="str">
        <f>"2217212121007"</f>
        <v>2217212121007</v>
      </c>
      <c r="C168" t="s">
        <v>270</v>
      </c>
      <c r="D168" t="str">
        <f>"电商22057"</f>
        <v>电商22057</v>
      </c>
      <c r="E168" t="str">
        <f t="shared" si="426"/>
        <v>2022</v>
      </c>
      <c r="F168" t="str">
        <f t="shared" si="338"/>
        <v>东莞电研院</v>
      </c>
      <c r="G168" t="str">
        <f t="shared" si="339"/>
        <v>专升本</v>
      </c>
      <c r="H168" t="str">
        <f>"电子商务"</f>
        <v>电子商务</v>
      </c>
      <c r="I168" t="str">
        <f t="shared" si="335"/>
        <v>函授</v>
      </c>
      <c r="J168" t="str">
        <f>"莫日华"</f>
        <v>莫日华</v>
      </c>
      <c r="K168" t="s">
        <v>32</v>
      </c>
      <c r="L168" t="s">
        <v>39</v>
      </c>
      <c r="M168" t="s">
        <v>40</v>
      </c>
      <c r="Q168" t="str">
        <f t="shared" si="384"/>
        <v>未选择</v>
      </c>
      <c r="U168" t="str">
        <f t="shared" ref="U168:W168" si="435">"-"</f>
        <v>-</v>
      </c>
      <c r="V168" t="str">
        <f t="shared" si="435"/>
        <v>-</v>
      </c>
      <c r="W168" t="str">
        <f t="shared" si="435"/>
        <v>-</v>
      </c>
      <c r="X168" t="str">
        <f t="shared" si="341"/>
        <v>未填写</v>
      </c>
      <c r="Y168" t="str">
        <f t="shared" ref="Y168:AA168" si="436">"未上传"</f>
        <v>未上传</v>
      </c>
      <c r="Z168" t="str">
        <f t="shared" si="436"/>
        <v>未上传</v>
      </c>
      <c r="AA168" t="str">
        <f t="shared" si="436"/>
        <v>未上传</v>
      </c>
      <c r="AB168" t="str">
        <f t="shared" si="387"/>
        <v>非书面答辩</v>
      </c>
      <c r="AC168" t="str">
        <f t="shared" si="343"/>
        <v>学生未填写</v>
      </c>
      <c r="AD168" t="str">
        <f t="shared" si="344"/>
        <v>未填写</v>
      </c>
      <c r="AE168" t="str">
        <f t="shared" si="345"/>
        <v>未签名</v>
      </c>
    </row>
    <row r="169" spans="1:31">
      <c r="A169" t="str">
        <f>"李汝乾"</f>
        <v>李汝乾</v>
      </c>
      <c r="B169" t="str">
        <f>"2217212122002"</f>
        <v>2217212122002</v>
      </c>
      <c r="C169" t="s">
        <v>271</v>
      </c>
      <c r="D169" t="str">
        <f t="shared" ref="D169:D171" si="437">"电工22073"</f>
        <v>电工22073</v>
      </c>
      <c r="E169" t="str">
        <f t="shared" si="426"/>
        <v>2022</v>
      </c>
      <c r="F169" t="str">
        <f t="shared" si="338"/>
        <v>东莞电研院</v>
      </c>
      <c r="G169" t="str">
        <f t="shared" si="339"/>
        <v>专升本</v>
      </c>
      <c r="H169" t="str">
        <f t="shared" ref="H169:H171" si="438">"电子信息工程"</f>
        <v>电子信息工程</v>
      </c>
      <c r="I169" t="str">
        <f t="shared" si="335"/>
        <v>函授</v>
      </c>
      <c r="J169" t="str">
        <f t="shared" ref="J169:J175" si="439">"赵朗"</f>
        <v>赵朗</v>
      </c>
      <c r="K169" t="s">
        <v>32</v>
      </c>
      <c r="L169" t="s">
        <v>173</v>
      </c>
      <c r="M169" t="s">
        <v>174</v>
      </c>
      <c r="Q169" t="str">
        <f t="shared" si="384"/>
        <v>未选择</v>
      </c>
      <c r="U169" t="str">
        <f t="shared" ref="U169:W169" si="440">"-"</f>
        <v>-</v>
      </c>
      <c r="V169" t="str">
        <f t="shared" si="440"/>
        <v>-</v>
      </c>
      <c r="W169" t="str">
        <f t="shared" si="440"/>
        <v>-</v>
      </c>
      <c r="X169" t="str">
        <f t="shared" si="341"/>
        <v>未填写</v>
      </c>
      <c r="Y169" t="str">
        <f t="shared" ref="Y169:AA169" si="441">"未上传"</f>
        <v>未上传</v>
      </c>
      <c r="Z169" t="str">
        <f t="shared" si="441"/>
        <v>未上传</v>
      </c>
      <c r="AA169" t="str">
        <f t="shared" si="441"/>
        <v>未上传</v>
      </c>
      <c r="AB169" t="str">
        <f t="shared" si="387"/>
        <v>非书面答辩</v>
      </c>
      <c r="AC169" t="str">
        <f t="shared" si="343"/>
        <v>学生未填写</v>
      </c>
      <c r="AD169" t="str">
        <f t="shared" si="344"/>
        <v>未填写</v>
      </c>
      <c r="AE169" t="str">
        <f t="shared" si="345"/>
        <v>未签名</v>
      </c>
    </row>
    <row r="170" spans="1:31">
      <c r="A170" t="str">
        <f>"易智聪"</f>
        <v>易智聪</v>
      </c>
      <c r="B170" t="str">
        <f>"2217212122006"</f>
        <v>2217212122006</v>
      </c>
      <c r="C170" t="s">
        <v>272</v>
      </c>
      <c r="D170" t="str">
        <f t="shared" si="437"/>
        <v>电工22073</v>
      </c>
      <c r="E170" t="str">
        <f t="shared" si="426"/>
        <v>2022</v>
      </c>
      <c r="F170" t="str">
        <f t="shared" si="338"/>
        <v>东莞电研院</v>
      </c>
      <c r="G170" t="str">
        <f t="shared" si="339"/>
        <v>专升本</v>
      </c>
      <c r="H170" t="str">
        <f t="shared" si="438"/>
        <v>电子信息工程</v>
      </c>
      <c r="I170" t="str">
        <f t="shared" si="335"/>
        <v>函授</v>
      </c>
      <c r="J170" t="str">
        <f t="shared" si="439"/>
        <v>赵朗</v>
      </c>
      <c r="K170" t="s">
        <v>32</v>
      </c>
      <c r="L170" t="s">
        <v>173</v>
      </c>
      <c r="M170" t="s">
        <v>174</v>
      </c>
      <c r="Q170" t="str">
        <f t="shared" si="384"/>
        <v>未选择</v>
      </c>
      <c r="U170" t="str">
        <f t="shared" ref="U170:W170" si="442">"-"</f>
        <v>-</v>
      </c>
      <c r="V170" t="str">
        <f t="shared" si="442"/>
        <v>-</v>
      </c>
      <c r="W170" t="str">
        <f t="shared" si="442"/>
        <v>-</v>
      </c>
      <c r="X170" t="str">
        <f t="shared" si="341"/>
        <v>未填写</v>
      </c>
      <c r="Y170" t="str">
        <f t="shared" ref="Y170:AA170" si="443">"未上传"</f>
        <v>未上传</v>
      </c>
      <c r="Z170" t="str">
        <f t="shared" si="443"/>
        <v>未上传</v>
      </c>
      <c r="AA170" t="str">
        <f t="shared" si="443"/>
        <v>未上传</v>
      </c>
      <c r="AB170" t="str">
        <f t="shared" si="387"/>
        <v>非书面答辩</v>
      </c>
      <c r="AC170" t="str">
        <f t="shared" si="343"/>
        <v>学生未填写</v>
      </c>
      <c r="AD170" t="str">
        <f t="shared" si="344"/>
        <v>未填写</v>
      </c>
      <c r="AE170" t="str">
        <f t="shared" si="345"/>
        <v>未签名</v>
      </c>
    </row>
    <row r="171" spans="1:31">
      <c r="A171" t="str">
        <f>"张广华"</f>
        <v>张广华</v>
      </c>
      <c r="B171" t="str">
        <f>"2217212122007"</f>
        <v>2217212122007</v>
      </c>
      <c r="C171" t="s">
        <v>273</v>
      </c>
      <c r="D171" t="str">
        <f t="shared" si="437"/>
        <v>电工22073</v>
      </c>
      <c r="E171" t="str">
        <f t="shared" si="426"/>
        <v>2022</v>
      </c>
      <c r="F171" t="str">
        <f t="shared" si="338"/>
        <v>东莞电研院</v>
      </c>
      <c r="G171" t="str">
        <f t="shared" si="339"/>
        <v>专升本</v>
      </c>
      <c r="H171" t="str">
        <f t="shared" si="438"/>
        <v>电子信息工程</v>
      </c>
      <c r="I171" t="str">
        <f t="shared" si="335"/>
        <v>函授</v>
      </c>
      <c r="J171" t="str">
        <f t="shared" si="439"/>
        <v>赵朗</v>
      </c>
      <c r="K171" t="s">
        <v>32</v>
      </c>
      <c r="L171" t="s">
        <v>173</v>
      </c>
      <c r="M171" t="s">
        <v>174</v>
      </c>
      <c r="Q171" t="str">
        <f t="shared" si="384"/>
        <v>未选择</v>
      </c>
      <c r="U171" t="str">
        <f t="shared" ref="U171:W171" si="444">"-"</f>
        <v>-</v>
      </c>
      <c r="V171" t="str">
        <f t="shared" si="444"/>
        <v>-</v>
      </c>
      <c r="W171" t="str">
        <f t="shared" si="444"/>
        <v>-</v>
      </c>
      <c r="X171" t="str">
        <f t="shared" si="341"/>
        <v>未填写</v>
      </c>
      <c r="Y171" t="str">
        <f t="shared" ref="Y171:AA171" si="445">"未上传"</f>
        <v>未上传</v>
      </c>
      <c r="Z171" t="str">
        <f t="shared" si="445"/>
        <v>未上传</v>
      </c>
      <c r="AA171" t="str">
        <f t="shared" si="445"/>
        <v>未上传</v>
      </c>
      <c r="AB171" t="str">
        <f t="shared" si="387"/>
        <v>非书面答辩</v>
      </c>
      <c r="AC171" t="str">
        <f t="shared" si="343"/>
        <v>学生未填写</v>
      </c>
      <c r="AD171" t="str">
        <f t="shared" si="344"/>
        <v>未填写</v>
      </c>
      <c r="AE171" t="str">
        <f t="shared" si="345"/>
        <v>未签名</v>
      </c>
    </row>
    <row r="172" spans="1:31">
      <c r="A172" t="str">
        <f>"冯智聪"</f>
        <v>冯智聪</v>
      </c>
      <c r="B172" t="str">
        <f>"2217212123002"</f>
        <v>2217212123002</v>
      </c>
      <c r="C172" t="s">
        <v>274</v>
      </c>
      <c r="D172" t="str">
        <f t="shared" ref="D172:D175" si="446">"机械22200"</f>
        <v>机械22200</v>
      </c>
      <c r="E172" t="str">
        <f t="shared" si="426"/>
        <v>2022</v>
      </c>
      <c r="F172" t="str">
        <f t="shared" si="338"/>
        <v>东莞电研院</v>
      </c>
      <c r="G172" t="str">
        <f t="shared" si="339"/>
        <v>专升本</v>
      </c>
      <c r="H172" t="str">
        <f t="shared" ref="H172:H175" si="447">"机械设计制造及其自动化"</f>
        <v>机械设计制造及其自动化</v>
      </c>
      <c r="I172" t="str">
        <f t="shared" si="335"/>
        <v>函授</v>
      </c>
      <c r="J172" t="str">
        <f t="shared" si="439"/>
        <v>赵朗</v>
      </c>
      <c r="K172" t="s">
        <v>32</v>
      </c>
      <c r="L172" t="s">
        <v>173</v>
      </c>
      <c r="M172" t="s">
        <v>174</v>
      </c>
      <c r="Q172" t="str">
        <f t="shared" si="384"/>
        <v>未选择</v>
      </c>
      <c r="U172" t="str">
        <f t="shared" ref="U172:W172" si="448">"-"</f>
        <v>-</v>
      </c>
      <c r="V172" t="str">
        <f t="shared" si="448"/>
        <v>-</v>
      </c>
      <c r="W172" t="str">
        <f t="shared" si="448"/>
        <v>-</v>
      </c>
      <c r="X172" t="str">
        <f t="shared" si="341"/>
        <v>未填写</v>
      </c>
      <c r="Y172" t="str">
        <f t="shared" ref="Y172:AA172" si="449">"未上传"</f>
        <v>未上传</v>
      </c>
      <c r="Z172" t="str">
        <f t="shared" si="449"/>
        <v>未上传</v>
      </c>
      <c r="AA172" t="str">
        <f t="shared" si="449"/>
        <v>未上传</v>
      </c>
      <c r="AB172" t="str">
        <f t="shared" si="387"/>
        <v>非书面答辩</v>
      </c>
      <c r="AC172" t="str">
        <f t="shared" si="343"/>
        <v>学生未填写</v>
      </c>
      <c r="AD172" t="str">
        <f t="shared" si="344"/>
        <v>未填写</v>
      </c>
      <c r="AE172" t="str">
        <f t="shared" si="345"/>
        <v>未签名</v>
      </c>
    </row>
    <row r="173" spans="1:31">
      <c r="A173" t="str">
        <f>"李丽萍"</f>
        <v>李丽萍</v>
      </c>
      <c r="B173" t="str">
        <f>"2217212123004"</f>
        <v>2217212123004</v>
      </c>
      <c r="C173" t="s">
        <v>275</v>
      </c>
      <c r="D173" t="str">
        <f t="shared" si="446"/>
        <v>机械22200</v>
      </c>
      <c r="E173" t="str">
        <f t="shared" si="426"/>
        <v>2022</v>
      </c>
      <c r="F173" t="str">
        <f t="shared" si="338"/>
        <v>东莞电研院</v>
      </c>
      <c r="G173" t="str">
        <f t="shared" si="339"/>
        <v>专升本</v>
      </c>
      <c r="H173" t="str">
        <f t="shared" si="447"/>
        <v>机械设计制造及其自动化</v>
      </c>
      <c r="I173" t="str">
        <f t="shared" si="335"/>
        <v>函授</v>
      </c>
      <c r="J173" t="str">
        <f t="shared" si="439"/>
        <v>赵朗</v>
      </c>
      <c r="K173" t="s">
        <v>32</v>
      </c>
      <c r="L173" t="s">
        <v>173</v>
      </c>
      <c r="M173" t="s">
        <v>174</v>
      </c>
      <c r="Q173" t="str">
        <f t="shared" si="384"/>
        <v>未选择</v>
      </c>
      <c r="U173" t="str">
        <f t="shared" ref="U173:W173" si="450">"-"</f>
        <v>-</v>
      </c>
      <c r="V173" t="str">
        <f t="shared" si="450"/>
        <v>-</v>
      </c>
      <c r="W173" t="str">
        <f t="shared" si="450"/>
        <v>-</v>
      </c>
      <c r="X173" t="str">
        <f t="shared" si="341"/>
        <v>未填写</v>
      </c>
      <c r="Y173" t="str">
        <f t="shared" ref="Y173:AA173" si="451">"未上传"</f>
        <v>未上传</v>
      </c>
      <c r="Z173" t="str">
        <f t="shared" si="451"/>
        <v>未上传</v>
      </c>
      <c r="AA173" t="str">
        <f t="shared" si="451"/>
        <v>未上传</v>
      </c>
      <c r="AB173" t="str">
        <f t="shared" si="387"/>
        <v>非书面答辩</v>
      </c>
      <c r="AC173" t="str">
        <f t="shared" si="343"/>
        <v>学生未填写</v>
      </c>
      <c r="AD173" t="str">
        <f t="shared" si="344"/>
        <v>未填写</v>
      </c>
      <c r="AE173" t="str">
        <f t="shared" si="345"/>
        <v>未签名</v>
      </c>
    </row>
    <row r="174" spans="1:31">
      <c r="A174" t="str">
        <f>"林宇康"</f>
        <v>林宇康</v>
      </c>
      <c r="B174" t="str">
        <f>"2217212123007"</f>
        <v>2217212123007</v>
      </c>
      <c r="C174" t="s">
        <v>276</v>
      </c>
      <c r="D174" t="str">
        <f t="shared" si="446"/>
        <v>机械22200</v>
      </c>
      <c r="E174" t="str">
        <f t="shared" si="426"/>
        <v>2022</v>
      </c>
      <c r="F174" t="str">
        <f t="shared" si="338"/>
        <v>东莞电研院</v>
      </c>
      <c r="G174" t="str">
        <f t="shared" si="339"/>
        <v>专升本</v>
      </c>
      <c r="H174" t="str">
        <f t="shared" si="447"/>
        <v>机械设计制造及其自动化</v>
      </c>
      <c r="I174" t="str">
        <f t="shared" si="335"/>
        <v>函授</v>
      </c>
      <c r="J174" t="str">
        <f t="shared" si="439"/>
        <v>赵朗</v>
      </c>
      <c r="K174" t="s">
        <v>32</v>
      </c>
      <c r="L174" t="s">
        <v>173</v>
      </c>
      <c r="M174" t="s">
        <v>174</v>
      </c>
      <c r="Q174" t="str">
        <f t="shared" si="384"/>
        <v>未选择</v>
      </c>
      <c r="U174" t="str">
        <f t="shared" ref="U174:W174" si="452">"-"</f>
        <v>-</v>
      </c>
      <c r="V174" t="str">
        <f t="shared" si="452"/>
        <v>-</v>
      </c>
      <c r="W174" t="str">
        <f t="shared" si="452"/>
        <v>-</v>
      </c>
      <c r="X174" t="str">
        <f t="shared" si="341"/>
        <v>未填写</v>
      </c>
      <c r="Y174" t="str">
        <f t="shared" ref="Y174:AA174" si="453">"未上传"</f>
        <v>未上传</v>
      </c>
      <c r="Z174" t="str">
        <f t="shared" si="453"/>
        <v>未上传</v>
      </c>
      <c r="AA174" t="str">
        <f t="shared" si="453"/>
        <v>未上传</v>
      </c>
      <c r="AB174" t="str">
        <f t="shared" si="387"/>
        <v>非书面答辩</v>
      </c>
      <c r="AC174" t="str">
        <f t="shared" si="343"/>
        <v>学生未填写</v>
      </c>
      <c r="AD174" t="str">
        <f t="shared" si="344"/>
        <v>未填写</v>
      </c>
      <c r="AE174" t="str">
        <f t="shared" si="345"/>
        <v>未签名</v>
      </c>
    </row>
    <row r="175" spans="1:31">
      <c r="A175" t="str">
        <f>"汤泽平"</f>
        <v>汤泽平</v>
      </c>
      <c r="B175" t="str">
        <f>"2217212123008"</f>
        <v>2217212123008</v>
      </c>
      <c r="C175" t="s">
        <v>277</v>
      </c>
      <c r="D175" t="str">
        <f t="shared" si="446"/>
        <v>机械22200</v>
      </c>
      <c r="E175" t="str">
        <f t="shared" si="426"/>
        <v>2022</v>
      </c>
      <c r="F175" t="str">
        <f t="shared" si="338"/>
        <v>东莞电研院</v>
      </c>
      <c r="G175" t="str">
        <f t="shared" si="339"/>
        <v>专升本</v>
      </c>
      <c r="H175" t="str">
        <f t="shared" si="447"/>
        <v>机械设计制造及其自动化</v>
      </c>
      <c r="I175" t="str">
        <f t="shared" si="335"/>
        <v>函授</v>
      </c>
      <c r="J175" t="str">
        <f t="shared" si="439"/>
        <v>赵朗</v>
      </c>
      <c r="K175" t="s">
        <v>32</v>
      </c>
      <c r="L175" t="s">
        <v>173</v>
      </c>
      <c r="M175" t="s">
        <v>174</v>
      </c>
      <c r="Q175" t="str">
        <f t="shared" si="384"/>
        <v>未选择</v>
      </c>
      <c r="U175" t="str">
        <f t="shared" ref="U175:W175" si="454">"-"</f>
        <v>-</v>
      </c>
      <c r="V175" t="str">
        <f t="shared" si="454"/>
        <v>-</v>
      </c>
      <c r="W175" t="str">
        <f t="shared" si="454"/>
        <v>-</v>
      </c>
      <c r="X175" t="str">
        <f t="shared" si="341"/>
        <v>未填写</v>
      </c>
      <c r="Y175" t="str">
        <f t="shared" ref="Y175:AA175" si="455">"未上传"</f>
        <v>未上传</v>
      </c>
      <c r="Z175" t="str">
        <f t="shared" si="455"/>
        <v>未上传</v>
      </c>
      <c r="AA175" t="str">
        <f t="shared" si="455"/>
        <v>未上传</v>
      </c>
      <c r="AB175" t="str">
        <f t="shared" si="387"/>
        <v>非书面答辩</v>
      </c>
      <c r="AC175" t="str">
        <f t="shared" si="343"/>
        <v>学生未填写</v>
      </c>
      <c r="AD175" t="str">
        <f t="shared" si="344"/>
        <v>未填写</v>
      </c>
      <c r="AE175" t="str">
        <f t="shared" si="345"/>
        <v>未签名</v>
      </c>
    </row>
    <row r="176" spans="1:31">
      <c r="A176" t="str">
        <f>"曾润琳"</f>
        <v>曾润琳</v>
      </c>
      <c r="B176" t="str">
        <f>"2217212124002"</f>
        <v>2217212124002</v>
      </c>
      <c r="C176" t="s">
        <v>278</v>
      </c>
      <c r="D176" t="str">
        <f t="shared" ref="D176:D178" si="456">"人力22247"</f>
        <v>人力22247</v>
      </c>
      <c r="E176" t="str">
        <f t="shared" si="426"/>
        <v>2022</v>
      </c>
      <c r="F176" t="str">
        <f t="shared" si="338"/>
        <v>东莞电研院</v>
      </c>
      <c r="G176" t="str">
        <f t="shared" si="339"/>
        <v>专升本</v>
      </c>
      <c r="H176" t="str">
        <f t="shared" ref="H176:H178" si="457">"人力资源管理"</f>
        <v>人力资源管理</v>
      </c>
      <c r="I176" t="str">
        <f t="shared" si="335"/>
        <v>函授</v>
      </c>
      <c r="J176" t="str">
        <f>"王求精"</f>
        <v>王求精</v>
      </c>
      <c r="K176" t="s">
        <v>32</v>
      </c>
      <c r="L176">
        <v>15818283086</v>
      </c>
      <c r="M176" s="1" t="s">
        <v>42</v>
      </c>
      <c r="Q176" t="str">
        <f t="shared" si="384"/>
        <v>未选择</v>
      </c>
      <c r="U176" t="str">
        <f t="shared" ref="U176:W176" si="458">"-"</f>
        <v>-</v>
      </c>
      <c r="V176" t="str">
        <f t="shared" si="458"/>
        <v>-</v>
      </c>
      <c r="W176" t="str">
        <f t="shared" si="458"/>
        <v>-</v>
      </c>
      <c r="X176" t="str">
        <f t="shared" si="341"/>
        <v>未填写</v>
      </c>
      <c r="Y176" t="str">
        <f t="shared" ref="Y176:AA176" si="459">"未上传"</f>
        <v>未上传</v>
      </c>
      <c r="Z176" t="str">
        <f t="shared" si="459"/>
        <v>未上传</v>
      </c>
      <c r="AA176" t="str">
        <f t="shared" si="459"/>
        <v>未上传</v>
      </c>
      <c r="AB176" t="str">
        <f t="shared" si="387"/>
        <v>非书面答辩</v>
      </c>
      <c r="AC176" t="str">
        <f t="shared" si="343"/>
        <v>学生未填写</v>
      </c>
      <c r="AD176" t="str">
        <f t="shared" si="344"/>
        <v>未填写</v>
      </c>
      <c r="AE176" t="str">
        <f t="shared" si="345"/>
        <v>未签名</v>
      </c>
    </row>
    <row r="177" spans="1:31">
      <c r="A177" t="str">
        <f>"李泳钿"</f>
        <v>李泳钿</v>
      </c>
      <c r="B177" t="str">
        <f>"2217212124014"</f>
        <v>2217212124014</v>
      </c>
      <c r="C177" t="s">
        <v>279</v>
      </c>
      <c r="D177" t="str">
        <f t="shared" si="456"/>
        <v>人力22247</v>
      </c>
      <c r="E177" t="str">
        <f t="shared" si="426"/>
        <v>2022</v>
      </c>
      <c r="F177" t="str">
        <f t="shared" si="338"/>
        <v>东莞电研院</v>
      </c>
      <c r="G177" t="str">
        <f t="shared" si="339"/>
        <v>专升本</v>
      </c>
      <c r="H177" t="str">
        <f t="shared" si="457"/>
        <v>人力资源管理</v>
      </c>
      <c r="I177" t="str">
        <f t="shared" si="335"/>
        <v>函授</v>
      </c>
      <c r="J177" t="str">
        <f>"邓华"</f>
        <v>邓华</v>
      </c>
      <c r="K177" t="s">
        <v>32</v>
      </c>
      <c r="L177" t="s">
        <v>280</v>
      </c>
      <c r="M177" t="s">
        <v>281</v>
      </c>
      <c r="Q177" t="str">
        <f t="shared" si="384"/>
        <v>未选择</v>
      </c>
      <c r="U177" t="str">
        <f t="shared" ref="U177:W177" si="460">"-"</f>
        <v>-</v>
      </c>
      <c r="V177" t="str">
        <f t="shared" si="460"/>
        <v>-</v>
      </c>
      <c r="W177" t="str">
        <f t="shared" si="460"/>
        <v>-</v>
      </c>
      <c r="X177" t="str">
        <f t="shared" si="341"/>
        <v>未填写</v>
      </c>
      <c r="Y177" t="str">
        <f t="shared" ref="Y177:AA177" si="461">"未上传"</f>
        <v>未上传</v>
      </c>
      <c r="Z177" t="str">
        <f t="shared" si="461"/>
        <v>未上传</v>
      </c>
      <c r="AA177" t="str">
        <f t="shared" si="461"/>
        <v>未上传</v>
      </c>
      <c r="AB177" t="str">
        <f t="shared" si="387"/>
        <v>非书面答辩</v>
      </c>
      <c r="AC177" t="str">
        <f t="shared" si="343"/>
        <v>学生未填写</v>
      </c>
      <c r="AD177" t="str">
        <f t="shared" si="344"/>
        <v>未填写</v>
      </c>
      <c r="AE177" t="str">
        <f t="shared" si="345"/>
        <v>未签名</v>
      </c>
    </row>
    <row r="178" spans="1:31">
      <c r="A178" t="str">
        <f>"李紫健"</f>
        <v>李紫健</v>
      </c>
      <c r="B178" t="str">
        <f>"2217212124015"</f>
        <v>2217212124015</v>
      </c>
      <c r="C178" t="s">
        <v>282</v>
      </c>
      <c r="D178" t="str">
        <f t="shared" si="456"/>
        <v>人力22247</v>
      </c>
      <c r="E178" t="str">
        <f t="shared" si="426"/>
        <v>2022</v>
      </c>
      <c r="F178" t="str">
        <f t="shared" si="338"/>
        <v>东莞电研院</v>
      </c>
      <c r="G178" t="str">
        <f t="shared" si="339"/>
        <v>专升本</v>
      </c>
      <c r="H178" t="str">
        <f t="shared" si="457"/>
        <v>人力资源管理</v>
      </c>
      <c r="I178" t="str">
        <f t="shared" si="335"/>
        <v>函授</v>
      </c>
      <c r="J178" t="str">
        <f>"莫日华"</f>
        <v>莫日华</v>
      </c>
      <c r="K178" t="s">
        <v>32</v>
      </c>
      <c r="L178" t="s">
        <v>39</v>
      </c>
      <c r="M178" t="s">
        <v>40</v>
      </c>
      <c r="Q178" t="str">
        <f t="shared" si="384"/>
        <v>未选择</v>
      </c>
      <c r="U178" t="str">
        <f t="shared" ref="U178:W178" si="462">"-"</f>
        <v>-</v>
      </c>
      <c r="V178" t="str">
        <f t="shared" si="462"/>
        <v>-</v>
      </c>
      <c r="W178" t="str">
        <f t="shared" si="462"/>
        <v>-</v>
      </c>
      <c r="X178" t="str">
        <f t="shared" si="341"/>
        <v>未填写</v>
      </c>
      <c r="Y178" t="str">
        <f t="shared" ref="Y178:AA178" si="463">"未上传"</f>
        <v>未上传</v>
      </c>
      <c r="Z178" t="str">
        <f t="shared" si="463"/>
        <v>未上传</v>
      </c>
      <c r="AA178" t="str">
        <f t="shared" si="463"/>
        <v>未上传</v>
      </c>
      <c r="AB178" t="str">
        <f t="shared" si="387"/>
        <v>非书面答辩</v>
      </c>
      <c r="AC178" t="str">
        <f t="shared" si="343"/>
        <v>学生未填写</v>
      </c>
      <c r="AD178" t="str">
        <f t="shared" si="344"/>
        <v>未填写</v>
      </c>
      <c r="AE178" t="str">
        <f t="shared" si="345"/>
        <v>未签名</v>
      </c>
    </row>
    <row r="179" hidden="1" spans="1:31">
      <c r="A179" t="str">
        <f>"唐荣杰"</f>
        <v>唐荣杰</v>
      </c>
      <c r="B179" t="str">
        <f>"2217312118012"</f>
        <v>2217312118012</v>
      </c>
      <c r="C179" t="s">
        <v>283</v>
      </c>
      <c r="D179" t="str">
        <f>"行管22167"</f>
        <v>行管22167</v>
      </c>
      <c r="E179" t="str">
        <f t="shared" si="426"/>
        <v>2022</v>
      </c>
      <c r="F179" t="str">
        <f t="shared" si="338"/>
        <v>东莞电研院</v>
      </c>
      <c r="G179" t="str">
        <f t="shared" si="339"/>
        <v>专升本</v>
      </c>
      <c r="H179" t="str">
        <f>"行政管理"</f>
        <v>行政管理</v>
      </c>
      <c r="I179" t="str">
        <f t="shared" si="335"/>
        <v>函授</v>
      </c>
      <c r="J179" t="str">
        <f>"叶鹏"</f>
        <v>叶鹏</v>
      </c>
      <c r="K179" t="s">
        <v>44</v>
      </c>
      <c r="L179" t="s">
        <v>284</v>
      </c>
      <c r="M179" t="s">
        <v>285</v>
      </c>
      <c r="N179" t="str">
        <f>"浅谈新农村建设中的乡镇行政管理"</f>
        <v>浅谈新农村建设中的乡镇行政管理</v>
      </c>
      <c r="O179" t="str">
        <f>"行政管理"</f>
        <v>行政管理</v>
      </c>
      <c r="P179" t="str">
        <f>"新农村建设;乡镇;行政管理"</f>
        <v>新农村建设;乡镇;行政管理</v>
      </c>
      <c r="Q179" t="str">
        <f>"书面答辩"</f>
        <v>书面答辩</v>
      </c>
      <c r="R179" t="str">
        <f>"毕业论文"</f>
        <v>毕业论文</v>
      </c>
      <c r="S179" t="str">
        <f>"中文"</f>
        <v>中文</v>
      </c>
      <c r="T179" t="str">
        <f>"非立项"</f>
        <v>非立项</v>
      </c>
      <c r="U179" t="str">
        <f>"未审核"</f>
        <v>未审核</v>
      </c>
      <c r="X179" t="str">
        <f t="shared" si="341"/>
        <v>未填写</v>
      </c>
      <c r="Y179" t="str">
        <f t="shared" ref="Y179:AA179" si="464">"未上传"</f>
        <v>未上传</v>
      </c>
      <c r="Z179" t="str">
        <f t="shared" si="464"/>
        <v>未上传</v>
      </c>
      <c r="AA179" t="str">
        <f t="shared" si="464"/>
        <v>未上传</v>
      </c>
      <c r="AB179" t="str">
        <f>"未发布问题"</f>
        <v>未发布问题</v>
      </c>
      <c r="AC179" t="str">
        <f t="shared" si="343"/>
        <v>学生未填写</v>
      </c>
      <c r="AD179" t="str">
        <f t="shared" si="344"/>
        <v>未填写</v>
      </c>
      <c r="AE179" t="str">
        <f t="shared" si="345"/>
        <v>未签名</v>
      </c>
    </row>
    <row r="180" spans="1:31">
      <c r="A180" t="str">
        <f>"成光安"</f>
        <v>成光安</v>
      </c>
      <c r="B180" t="str">
        <f>"2217312119002"</f>
        <v>2217312119002</v>
      </c>
      <c r="C180" t="s">
        <v>286</v>
      </c>
      <c r="D180" t="str">
        <f>"计机科技22217"</f>
        <v>计机科技22217</v>
      </c>
      <c r="E180" t="str">
        <f t="shared" si="426"/>
        <v>2022</v>
      </c>
      <c r="F180" t="str">
        <f t="shared" si="338"/>
        <v>东莞电研院</v>
      </c>
      <c r="G180" t="str">
        <f t="shared" si="339"/>
        <v>专升本</v>
      </c>
      <c r="H180" t="str">
        <f>"计算机科学与技术"</f>
        <v>计算机科学与技术</v>
      </c>
      <c r="I180" t="str">
        <f t="shared" si="335"/>
        <v>函授</v>
      </c>
      <c r="J180" t="str">
        <f>"肖宜"</f>
        <v>肖宜</v>
      </c>
      <c r="K180" t="s">
        <v>32</v>
      </c>
      <c r="L180" t="s">
        <v>260</v>
      </c>
      <c r="M180" t="s">
        <v>261</v>
      </c>
      <c r="Q180" t="str">
        <f t="shared" ref="Q180:Q190" si="465">"未选择"</f>
        <v>未选择</v>
      </c>
      <c r="U180" t="str">
        <f t="shared" ref="U180:W180" si="466">"-"</f>
        <v>-</v>
      </c>
      <c r="V180" t="str">
        <f t="shared" si="466"/>
        <v>-</v>
      </c>
      <c r="W180" t="str">
        <f t="shared" si="466"/>
        <v>-</v>
      </c>
      <c r="X180" t="str">
        <f t="shared" si="341"/>
        <v>未填写</v>
      </c>
      <c r="Y180" t="str">
        <f t="shared" ref="Y180:AA180" si="467">"未上传"</f>
        <v>未上传</v>
      </c>
      <c r="Z180" t="str">
        <f t="shared" si="467"/>
        <v>未上传</v>
      </c>
      <c r="AA180" t="str">
        <f t="shared" si="467"/>
        <v>未上传</v>
      </c>
      <c r="AB180" t="str">
        <f t="shared" ref="AB180:AB190" si="468">"非书面答辩"</f>
        <v>非书面答辩</v>
      </c>
      <c r="AC180" t="str">
        <f t="shared" si="343"/>
        <v>学生未填写</v>
      </c>
      <c r="AD180" t="str">
        <f t="shared" si="344"/>
        <v>未填写</v>
      </c>
      <c r="AE180" t="str">
        <f t="shared" si="345"/>
        <v>未签名</v>
      </c>
    </row>
    <row r="181" spans="1:31">
      <c r="A181" t="str">
        <f>"罗华思"</f>
        <v>罗华思</v>
      </c>
      <c r="B181" t="str">
        <f>"2217312120009"</f>
        <v>2217312120009</v>
      </c>
      <c r="C181" t="s">
        <v>287</v>
      </c>
      <c r="D181" t="str">
        <f>"电气22024"</f>
        <v>电气22024</v>
      </c>
      <c r="E181" t="str">
        <f t="shared" si="426"/>
        <v>2022</v>
      </c>
      <c r="F181" t="str">
        <f t="shared" si="338"/>
        <v>东莞电研院</v>
      </c>
      <c r="G181" t="str">
        <f t="shared" si="339"/>
        <v>专升本</v>
      </c>
      <c r="H181" t="str">
        <f>"电气工程及其自动化"</f>
        <v>电气工程及其自动化</v>
      </c>
      <c r="I181" t="str">
        <f t="shared" si="335"/>
        <v>函授</v>
      </c>
      <c r="J181" t="str">
        <f>"何敏娜"</f>
        <v>何敏娜</v>
      </c>
      <c r="K181" t="s">
        <v>32</v>
      </c>
      <c r="L181" t="s">
        <v>36</v>
      </c>
      <c r="M181" t="s">
        <v>37</v>
      </c>
      <c r="Q181" t="str">
        <f t="shared" si="465"/>
        <v>未选择</v>
      </c>
      <c r="U181" t="str">
        <f t="shared" ref="U181:W181" si="469">"-"</f>
        <v>-</v>
      </c>
      <c r="V181" t="str">
        <f t="shared" si="469"/>
        <v>-</v>
      </c>
      <c r="W181" t="str">
        <f t="shared" si="469"/>
        <v>-</v>
      </c>
      <c r="X181" t="str">
        <f t="shared" si="341"/>
        <v>未填写</v>
      </c>
      <c r="Y181" t="str">
        <f t="shared" ref="Y181:AA181" si="470">"未上传"</f>
        <v>未上传</v>
      </c>
      <c r="Z181" t="str">
        <f t="shared" si="470"/>
        <v>未上传</v>
      </c>
      <c r="AA181" t="str">
        <f t="shared" si="470"/>
        <v>未上传</v>
      </c>
      <c r="AB181" t="str">
        <f t="shared" si="468"/>
        <v>非书面答辩</v>
      </c>
      <c r="AC181" t="str">
        <f t="shared" si="343"/>
        <v>学生未填写</v>
      </c>
      <c r="AD181" t="str">
        <f t="shared" si="344"/>
        <v>未填写</v>
      </c>
      <c r="AE181" t="str">
        <f t="shared" si="345"/>
        <v>未签名</v>
      </c>
    </row>
    <row r="182" hidden="1" spans="1:31">
      <c r="A182" t="str">
        <f>"邱铭豪"</f>
        <v>邱铭豪</v>
      </c>
      <c r="B182" t="str">
        <f>"2217411101004"</f>
        <v>2217411101004</v>
      </c>
      <c r="C182" t="s">
        <v>288</v>
      </c>
      <c r="D182" t="str">
        <f>"金融22237"</f>
        <v>金融22237</v>
      </c>
      <c r="E182" t="str">
        <f t="shared" si="426"/>
        <v>2022</v>
      </c>
      <c r="F182" t="str">
        <f t="shared" si="338"/>
        <v>东莞电研院</v>
      </c>
      <c r="G182" t="str">
        <f t="shared" si="339"/>
        <v>专升本</v>
      </c>
      <c r="H182" t="str">
        <f>"金融学"</f>
        <v>金融学</v>
      </c>
      <c r="I182" t="str">
        <f t="shared" ref="I182:I188" si="471">"业余"</f>
        <v>业余</v>
      </c>
      <c r="J182" t="str">
        <f>"陈雪欣"</f>
        <v>陈雪欣</v>
      </c>
      <c r="K182" t="s">
        <v>44</v>
      </c>
      <c r="L182" t="s">
        <v>66</v>
      </c>
      <c r="M182" t="s">
        <v>67</v>
      </c>
      <c r="Q182" t="str">
        <f t="shared" si="465"/>
        <v>未选择</v>
      </c>
      <c r="U182" t="str">
        <f t="shared" ref="U182:W182" si="472">"-"</f>
        <v>-</v>
      </c>
      <c r="V182" t="str">
        <f t="shared" si="472"/>
        <v>-</v>
      </c>
      <c r="W182" t="str">
        <f t="shared" si="472"/>
        <v>-</v>
      </c>
      <c r="X182" t="str">
        <f t="shared" si="341"/>
        <v>未填写</v>
      </c>
      <c r="Y182" t="str">
        <f t="shared" ref="Y182:AA182" si="473">"未上传"</f>
        <v>未上传</v>
      </c>
      <c r="Z182" t="str">
        <f t="shared" si="473"/>
        <v>未上传</v>
      </c>
      <c r="AA182" t="str">
        <f t="shared" si="473"/>
        <v>未上传</v>
      </c>
      <c r="AB182" t="str">
        <f t="shared" si="468"/>
        <v>非书面答辩</v>
      </c>
      <c r="AC182" t="str">
        <f t="shared" si="343"/>
        <v>学生未填写</v>
      </c>
      <c r="AD182" t="str">
        <f t="shared" si="344"/>
        <v>未填写</v>
      </c>
      <c r="AE182" t="str">
        <f t="shared" si="345"/>
        <v>未签名</v>
      </c>
    </row>
    <row r="183" hidden="1" spans="1:31">
      <c r="A183" t="str">
        <f>"黄俏娜"</f>
        <v>黄俏娜</v>
      </c>
      <c r="B183" t="str">
        <f>"2217411103001"</f>
        <v>2217411103001</v>
      </c>
      <c r="C183" t="s">
        <v>289</v>
      </c>
      <c r="D183" t="str">
        <f t="shared" ref="D183:D188" si="474">"法学22088"</f>
        <v>法学22088</v>
      </c>
      <c r="E183" t="str">
        <f t="shared" si="426"/>
        <v>2022</v>
      </c>
      <c r="F183" t="str">
        <f t="shared" si="338"/>
        <v>东莞电研院</v>
      </c>
      <c r="G183" t="str">
        <f t="shared" si="339"/>
        <v>专升本</v>
      </c>
      <c r="H183" t="str">
        <f t="shared" ref="H183:H188" si="475">"法学"</f>
        <v>法学</v>
      </c>
      <c r="I183" t="str">
        <f t="shared" si="471"/>
        <v>业余</v>
      </c>
      <c r="J183" t="str">
        <f t="shared" ref="J183:J188" si="476">"王颖卓"</f>
        <v>王颖卓</v>
      </c>
      <c r="K183" t="s">
        <v>44</v>
      </c>
      <c r="L183" t="s">
        <v>63</v>
      </c>
      <c r="M183" t="s">
        <v>64</v>
      </c>
      <c r="Q183" t="str">
        <f t="shared" si="465"/>
        <v>未选择</v>
      </c>
      <c r="U183" t="str">
        <f t="shared" ref="U183:W183" si="477">"-"</f>
        <v>-</v>
      </c>
      <c r="V183" t="str">
        <f t="shared" si="477"/>
        <v>-</v>
      </c>
      <c r="W183" t="str">
        <f t="shared" si="477"/>
        <v>-</v>
      </c>
      <c r="X183" t="str">
        <f t="shared" si="341"/>
        <v>未填写</v>
      </c>
      <c r="Y183" t="str">
        <f t="shared" ref="Y183:AA183" si="478">"未上传"</f>
        <v>未上传</v>
      </c>
      <c r="Z183" t="str">
        <f t="shared" si="478"/>
        <v>未上传</v>
      </c>
      <c r="AA183" t="str">
        <f t="shared" si="478"/>
        <v>未上传</v>
      </c>
      <c r="AB183" t="str">
        <f t="shared" si="468"/>
        <v>非书面答辩</v>
      </c>
      <c r="AC183" t="str">
        <f t="shared" si="343"/>
        <v>学生未填写</v>
      </c>
      <c r="AD183" t="str">
        <f t="shared" si="344"/>
        <v>未填写</v>
      </c>
      <c r="AE183" t="str">
        <f t="shared" si="345"/>
        <v>未签名</v>
      </c>
    </row>
    <row r="184" hidden="1" spans="1:31">
      <c r="A184" t="str">
        <f>"李大有"</f>
        <v>李大有</v>
      </c>
      <c r="B184" t="str">
        <f>"2217411103002"</f>
        <v>2217411103002</v>
      </c>
      <c r="C184" t="s">
        <v>290</v>
      </c>
      <c r="D184" t="str">
        <f t="shared" si="474"/>
        <v>法学22088</v>
      </c>
      <c r="E184" t="str">
        <f t="shared" si="426"/>
        <v>2022</v>
      </c>
      <c r="F184" t="str">
        <f t="shared" si="338"/>
        <v>东莞电研院</v>
      </c>
      <c r="G184" t="str">
        <f t="shared" si="339"/>
        <v>专升本</v>
      </c>
      <c r="H184" t="str">
        <f t="shared" si="475"/>
        <v>法学</v>
      </c>
      <c r="I184" t="str">
        <f t="shared" si="471"/>
        <v>业余</v>
      </c>
      <c r="J184" t="str">
        <f t="shared" si="476"/>
        <v>王颖卓</v>
      </c>
      <c r="K184" t="s">
        <v>44</v>
      </c>
      <c r="L184" t="s">
        <v>63</v>
      </c>
      <c r="M184" t="s">
        <v>64</v>
      </c>
      <c r="Q184" t="str">
        <f t="shared" si="465"/>
        <v>未选择</v>
      </c>
      <c r="U184" t="str">
        <f t="shared" ref="U184:W184" si="479">"-"</f>
        <v>-</v>
      </c>
      <c r="V184" t="str">
        <f t="shared" si="479"/>
        <v>-</v>
      </c>
      <c r="W184" t="str">
        <f t="shared" si="479"/>
        <v>-</v>
      </c>
      <c r="X184" t="str">
        <f t="shared" si="341"/>
        <v>未填写</v>
      </c>
      <c r="Y184" t="str">
        <f t="shared" ref="Y184:AA184" si="480">"未上传"</f>
        <v>未上传</v>
      </c>
      <c r="Z184" t="str">
        <f t="shared" si="480"/>
        <v>未上传</v>
      </c>
      <c r="AA184" t="str">
        <f t="shared" si="480"/>
        <v>未上传</v>
      </c>
      <c r="AB184" t="str">
        <f t="shared" si="468"/>
        <v>非书面答辩</v>
      </c>
      <c r="AC184" t="str">
        <f t="shared" si="343"/>
        <v>学生未填写</v>
      </c>
      <c r="AD184" t="str">
        <f t="shared" si="344"/>
        <v>未填写</v>
      </c>
      <c r="AE184" t="str">
        <f t="shared" si="345"/>
        <v>未签名</v>
      </c>
    </row>
    <row r="185" hidden="1" spans="1:31">
      <c r="A185" t="str">
        <f>"梁富勇"</f>
        <v>梁富勇</v>
      </c>
      <c r="B185" t="str">
        <f>"2217411103004"</f>
        <v>2217411103004</v>
      </c>
      <c r="C185" t="s">
        <v>291</v>
      </c>
      <c r="D185" t="str">
        <f t="shared" si="474"/>
        <v>法学22088</v>
      </c>
      <c r="E185" t="str">
        <f t="shared" si="426"/>
        <v>2022</v>
      </c>
      <c r="F185" t="str">
        <f t="shared" si="338"/>
        <v>东莞电研院</v>
      </c>
      <c r="G185" t="str">
        <f t="shared" si="339"/>
        <v>专升本</v>
      </c>
      <c r="H185" t="str">
        <f t="shared" si="475"/>
        <v>法学</v>
      </c>
      <c r="I185" t="str">
        <f t="shared" si="471"/>
        <v>业余</v>
      </c>
      <c r="J185" t="str">
        <f t="shared" si="476"/>
        <v>王颖卓</v>
      </c>
      <c r="K185" t="s">
        <v>44</v>
      </c>
      <c r="L185" t="s">
        <v>63</v>
      </c>
      <c r="M185" t="s">
        <v>64</v>
      </c>
      <c r="Q185" t="str">
        <f t="shared" si="465"/>
        <v>未选择</v>
      </c>
      <c r="U185" t="str">
        <f t="shared" ref="U185:W185" si="481">"-"</f>
        <v>-</v>
      </c>
      <c r="V185" t="str">
        <f t="shared" si="481"/>
        <v>-</v>
      </c>
      <c r="W185" t="str">
        <f t="shared" si="481"/>
        <v>-</v>
      </c>
      <c r="X185" t="str">
        <f t="shared" si="341"/>
        <v>未填写</v>
      </c>
      <c r="Y185" t="str">
        <f t="shared" ref="Y185:AA185" si="482">"未上传"</f>
        <v>未上传</v>
      </c>
      <c r="Z185" t="str">
        <f t="shared" si="482"/>
        <v>未上传</v>
      </c>
      <c r="AA185" t="str">
        <f t="shared" si="482"/>
        <v>未上传</v>
      </c>
      <c r="AB185" t="str">
        <f t="shared" si="468"/>
        <v>非书面答辩</v>
      </c>
      <c r="AC185" t="str">
        <f t="shared" si="343"/>
        <v>学生未填写</v>
      </c>
      <c r="AD185" t="str">
        <f t="shared" si="344"/>
        <v>未填写</v>
      </c>
      <c r="AE185" t="str">
        <f t="shared" si="345"/>
        <v>未签名</v>
      </c>
    </row>
    <row r="186" hidden="1" spans="1:31">
      <c r="A186" t="str">
        <f>"孙子棋"</f>
        <v>孙子棋</v>
      </c>
      <c r="B186" t="str">
        <f>"2217411103006"</f>
        <v>2217411103006</v>
      </c>
      <c r="C186" t="s">
        <v>292</v>
      </c>
      <c r="D186" t="str">
        <f t="shared" si="474"/>
        <v>法学22088</v>
      </c>
      <c r="E186" t="str">
        <f t="shared" si="426"/>
        <v>2022</v>
      </c>
      <c r="F186" t="str">
        <f t="shared" si="338"/>
        <v>东莞电研院</v>
      </c>
      <c r="G186" t="str">
        <f t="shared" si="339"/>
        <v>专升本</v>
      </c>
      <c r="H186" t="str">
        <f t="shared" si="475"/>
        <v>法学</v>
      </c>
      <c r="I186" t="str">
        <f t="shared" si="471"/>
        <v>业余</v>
      </c>
      <c r="J186" t="str">
        <f t="shared" si="476"/>
        <v>王颖卓</v>
      </c>
      <c r="K186" t="s">
        <v>44</v>
      </c>
      <c r="L186" t="s">
        <v>63</v>
      </c>
      <c r="M186" t="s">
        <v>64</v>
      </c>
      <c r="Q186" t="str">
        <f t="shared" si="465"/>
        <v>未选择</v>
      </c>
      <c r="U186" t="str">
        <f t="shared" ref="U186:W186" si="483">"-"</f>
        <v>-</v>
      </c>
      <c r="V186" t="str">
        <f t="shared" si="483"/>
        <v>-</v>
      </c>
      <c r="W186" t="str">
        <f t="shared" si="483"/>
        <v>-</v>
      </c>
      <c r="X186" t="str">
        <f t="shared" si="341"/>
        <v>未填写</v>
      </c>
      <c r="Y186" t="str">
        <f t="shared" ref="Y186:AA186" si="484">"未上传"</f>
        <v>未上传</v>
      </c>
      <c r="Z186" t="str">
        <f t="shared" si="484"/>
        <v>未上传</v>
      </c>
      <c r="AA186" t="str">
        <f t="shared" si="484"/>
        <v>未上传</v>
      </c>
      <c r="AB186" t="str">
        <f t="shared" si="468"/>
        <v>非书面答辩</v>
      </c>
      <c r="AC186" t="str">
        <f t="shared" si="343"/>
        <v>学生未填写</v>
      </c>
      <c r="AD186" t="str">
        <f t="shared" si="344"/>
        <v>未填写</v>
      </c>
      <c r="AE186" t="str">
        <f t="shared" si="345"/>
        <v>未签名</v>
      </c>
    </row>
    <row r="187" hidden="1" spans="1:31">
      <c r="A187" t="str">
        <f>"覃祖"</f>
        <v>覃祖</v>
      </c>
      <c r="B187" t="str">
        <f>"2217411103007"</f>
        <v>2217411103007</v>
      </c>
      <c r="C187" t="s">
        <v>293</v>
      </c>
      <c r="D187" t="str">
        <f t="shared" si="474"/>
        <v>法学22088</v>
      </c>
      <c r="E187" t="str">
        <f t="shared" si="426"/>
        <v>2022</v>
      </c>
      <c r="F187" t="str">
        <f t="shared" si="338"/>
        <v>东莞电研院</v>
      </c>
      <c r="G187" t="str">
        <f t="shared" si="339"/>
        <v>专升本</v>
      </c>
      <c r="H187" t="str">
        <f t="shared" si="475"/>
        <v>法学</v>
      </c>
      <c r="I187" t="str">
        <f t="shared" si="471"/>
        <v>业余</v>
      </c>
      <c r="J187" t="str">
        <f t="shared" si="476"/>
        <v>王颖卓</v>
      </c>
      <c r="K187" t="s">
        <v>44</v>
      </c>
      <c r="L187" t="s">
        <v>63</v>
      </c>
      <c r="M187" t="s">
        <v>64</v>
      </c>
      <c r="Q187" t="str">
        <f t="shared" si="465"/>
        <v>未选择</v>
      </c>
      <c r="U187" t="str">
        <f t="shared" ref="U187:W187" si="485">"-"</f>
        <v>-</v>
      </c>
      <c r="V187" t="str">
        <f t="shared" si="485"/>
        <v>-</v>
      </c>
      <c r="W187" t="str">
        <f t="shared" si="485"/>
        <v>-</v>
      </c>
      <c r="X187" t="str">
        <f t="shared" si="341"/>
        <v>未填写</v>
      </c>
      <c r="Y187" t="str">
        <f t="shared" ref="Y187:AA187" si="486">"未上传"</f>
        <v>未上传</v>
      </c>
      <c r="Z187" t="str">
        <f t="shared" si="486"/>
        <v>未上传</v>
      </c>
      <c r="AA187" t="str">
        <f t="shared" si="486"/>
        <v>未上传</v>
      </c>
      <c r="AB187" t="str">
        <f t="shared" si="468"/>
        <v>非书面答辩</v>
      </c>
      <c r="AC187" t="str">
        <f t="shared" si="343"/>
        <v>学生未填写</v>
      </c>
      <c r="AD187" t="str">
        <f t="shared" si="344"/>
        <v>未填写</v>
      </c>
      <c r="AE187" t="str">
        <f t="shared" si="345"/>
        <v>未签名</v>
      </c>
    </row>
    <row r="188" hidden="1" spans="1:31">
      <c r="A188" t="str">
        <f>"吴颖琪"</f>
        <v>吴颖琪</v>
      </c>
      <c r="B188" t="str">
        <f>"2217411103009"</f>
        <v>2217411103009</v>
      </c>
      <c r="C188" t="s">
        <v>294</v>
      </c>
      <c r="D188" t="str">
        <f t="shared" si="474"/>
        <v>法学22088</v>
      </c>
      <c r="E188" t="str">
        <f t="shared" si="426"/>
        <v>2022</v>
      </c>
      <c r="F188" t="str">
        <f t="shared" si="338"/>
        <v>东莞电研院</v>
      </c>
      <c r="G188" t="str">
        <f t="shared" si="339"/>
        <v>专升本</v>
      </c>
      <c r="H188" t="str">
        <f t="shared" si="475"/>
        <v>法学</v>
      </c>
      <c r="I188" t="str">
        <f t="shared" si="471"/>
        <v>业余</v>
      </c>
      <c r="J188" t="str">
        <f t="shared" si="476"/>
        <v>王颖卓</v>
      </c>
      <c r="K188" t="s">
        <v>44</v>
      </c>
      <c r="L188" t="s">
        <v>63</v>
      </c>
      <c r="M188" t="s">
        <v>64</v>
      </c>
      <c r="Q188" t="str">
        <f t="shared" si="465"/>
        <v>未选择</v>
      </c>
      <c r="U188" t="str">
        <f t="shared" ref="U188:W188" si="487">"-"</f>
        <v>-</v>
      </c>
      <c r="V188" t="str">
        <f t="shared" si="487"/>
        <v>-</v>
      </c>
      <c r="W188" t="str">
        <f t="shared" si="487"/>
        <v>-</v>
      </c>
      <c r="X188" t="str">
        <f t="shared" si="341"/>
        <v>未填写</v>
      </c>
      <c r="Y188" t="str">
        <f t="shared" ref="Y188:AA188" si="488">"未上传"</f>
        <v>未上传</v>
      </c>
      <c r="Z188" t="str">
        <f t="shared" si="488"/>
        <v>未上传</v>
      </c>
      <c r="AA188" t="str">
        <f t="shared" si="488"/>
        <v>未上传</v>
      </c>
      <c r="AB188" t="str">
        <f t="shared" si="468"/>
        <v>非书面答辩</v>
      </c>
      <c r="AC188" t="str">
        <f t="shared" si="343"/>
        <v>学生未填写</v>
      </c>
      <c r="AD188" t="str">
        <f t="shared" si="344"/>
        <v>未填写</v>
      </c>
      <c r="AE188" t="str">
        <f t="shared" si="345"/>
        <v>未签名</v>
      </c>
    </row>
    <row r="189" spans="1:31">
      <c r="A189" t="str">
        <f>"毛家科"</f>
        <v>毛家科</v>
      </c>
      <c r="B189" t="str">
        <f>"2217412116005"</f>
        <v>2217412116005</v>
      </c>
      <c r="C189" t="s">
        <v>295</v>
      </c>
      <c r="D189" t="str">
        <f>"财管22006"</f>
        <v>财管22006</v>
      </c>
      <c r="E189" t="str">
        <f t="shared" si="426"/>
        <v>2022</v>
      </c>
      <c r="F189" t="str">
        <f t="shared" si="338"/>
        <v>东莞电研院</v>
      </c>
      <c r="G189" t="str">
        <f t="shared" si="339"/>
        <v>专升本</v>
      </c>
      <c r="H189" t="str">
        <f>"财务管理"</f>
        <v>财务管理</v>
      </c>
      <c r="I189" t="str">
        <f t="shared" ref="I189:I197" si="489">"函授"</f>
        <v>函授</v>
      </c>
      <c r="J189" t="str">
        <f>"黄常喜"</f>
        <v>黄常喜</v>
      </c>
      <c r="K189" t="s">
        <v>32</v>
      </c>
      <c r="L189" t="s">
        <v>85</v>
      </c>
      <c r="M189" t="s">
        <v>42</v>
      </c>
      <c r="Q189" t="str">
        <f t="shared" si="465"/>
        <v>未选择</v>
      </c>
      <c r="U189" t="str">
        <f t="shared" ref="U189:W189" si="490">"-"</f>
        <v>-</v>
      </c>
      <c r="V189" t="str">
        <f t="shared" si="490"/>
        <v>-</v>
      </c>
      <c r="W189" t="str">
        <f t="shared" si="490"/>
        <v>-</v>
      </c>
      <c r="X189" t="str">
        <f t="shared" si="341"/>
        <v>未填写</v>
      </c>
      <c r="Y189" t="str">
        <f t="shared" ref="Y189:AA189" si="491">"未上传"</f>
        <v>未上传</v>
      </c>
      <c r="Z189" t="str">
        <f t="shared" si="491"/>
        <v>未上传</v>
      </c>
      <c r="AA189" t="str">
        <f t="shared" si="491"/>
        <v>未上传</v>
      </c>
      <c r="AB189" t="str">
        <f t="shared" si="468"/>
        <v>非书面答辩</v>
      </c>
      <c r="AC189" t="str">
        <f t="shared" si="343"/>
        <v>学生未填写</v>
      </c>
      <c r="AD189" t="str">
        <f t="shared" si="344"/>
        <v>未填写</v>
      </c>
      <c r="AE189" t="str">
        <f t="shared" si="345"/>
        <v>未签名</v>
      </c>
    </row>
    <row r="190" hidden="1" spans="1:31">
      <c r="A190" t="str">
        <f>"何杰祺"</f>
        <v>何杰祺</v>
      </c>
      <c r="B190" t="str">
        <f>"2217412117004"</f>
        <v>2217412117004</v>
      </c>
      <c r="C190" t="s">
        <v>296</v>
      </c>
      <c r="D190" t="str">
        <f t="shared" ref="D190:D193" si="492">"工管22104"</f>
        <v>工管22104</v>
      </c>
      <c r="E190" t="str">
        <f t="shared" si="426"/>
        <v>2022</v>
      </c>
      <c r="F190" t="str">
        <f t="shared" si="338"/>
        <v>东莞电研院</v>
      </c>
      <c r="G190" t="str">
        <f t="shared" si="339"/>
        <v>专升本</v>
      </c>
      <c r="H190" t="str">
        <f t="shared" ref="H190:H193" si="493">"工商管理"</f>
        <v>工商管理</v>
      </c>
      <c r="I190" t="str">
        <f t="shared" si="489"/>
        <v>函授</v>
      </c>
      <c r="J190" t="str">
        <f t="shared" ref="J190:J193" si="494">"石晟瑛"</f>
        <v>石晟瑛</v>
      </c>
      <c r="K190" t="s">
        <v>44</v>
      </c>
      <c r="L190" t="s">
        <v>53</v>
      </c>
      <c r="M190" t="s">
        <v>54</v>
      </c>
      <c r="Q190" t="str">
        <f t="shared" si="465"/>
        <v>未选择</v>
      </c>
      <c r="U190" t="str">
        <f t="shared" ref="U190:W190" si="495">"-"</f>
        <v>-</v>
      </c>
      <c r="V190" t="str">
        <f t="shared" si="495"/>
        <v>-</v>
      </c>
      <c r="W190" t="str">
        <f t="shared" si="495"/>
        <v>-</v>
      </c>
      <c r="X190" t="str">
        <f t="shared" si="341"/>
        <v>未填写</v>
      </c>
      <c r="Y190" t="str">
        <f t="shared" ref="Y190:AA190" si="496">"未上传"</f>
        <v>未上传</v>
      </c>
      <c r="Z190" t="str">
        <f t="shared" si="496"/>
        <v>未上传</v>
      </c>
      <c r="AA190" t="str">
        <f t="shared" si="496"/>
        <v>未上传</v>
      </c>
      <c r="AB190" t="str">
        <f t="shared" si="468"/>
        <v>非书面答辩</v>
      </c>
      <c r="AC190" t="str">
        <f t="shared" si="343"/>
        <v>学生未填写</v>
      </c>
      <c r="AD190" t="str">
        <f t="shared" si="344"/>
        <v>未填写</v>
      </c>
      <c r="AE190" t="str">
        <f t="shared" si="345"/>
        <v>未签名</v>
      </c>
    </row>
    <row r="191" hidden="1" spans="1:31">
      <c r="A191" t="str">
        <f>"莫宗杰"</f>
        <v>莫宗杰</v>
      </c>
      <c r="B191" t="str">
        <f>"2217412117009"</f>
        <v>2217412117009</v>
      </c>
      <c r="C191" t="s">
        <v>297</v>
      </c>
      <c r="D191" t="str">
        <f t="shared" si="492"/>
        <v>工管22104</v>
      </c>
      <c r="E191" t="str">
        <f t="shared" si="426"/>
        <v>2022</v>
      </c>
      <c r="F191" t="str">
        <f t="shared" si="338"/>
        <v>东莞电研院</v>
      </c>
      <c r="G191" t="str">
        <f t="shared" si="339"/>
        <v>专升本</v>
      </c>
      <c r="H191" t="str">
        <f t="shared" si="493"/>
        <v>工商管理</v>
      </c>
      <c r="I191" t="str">
        <f t="shared" si="489"/>
        <v>函授</v>
      </c>
      <c r="J191" t="str">
        <f t="shared" si="494"/>
        <v>石晟瑛</v>
      </c>
      <c r="K191" t="s">
        <v>44</v>
      </c>
      <c r="L191" t="s">
        <v>53</v>
      </c>
      <c r="M191" t="s">
        <v>54</v>
      </c>
      <c r="N191" t="str">
        <f>"企业营销能力与营销绩效研究"</f>
        <v>企业营销能力与营销绩效研究</v>
      </c>
      <c r="O191" t="str">
        <f>"标杆管理;营销绩效"</f>
        <v>标杆管理;营销绩效</v>
      </c>
      <c r="P191" t="str">
        <f>"企业营销能力;营销绩效;企业战略;市场份额;营销策略"</f>
        <v>企业营销能力;营销绩效;企业战略;市场份额;营销策略</v>
      </c>
      <c r="Q191" t="str">
        <f>"书面答辩"</f>
        <v>书面答辩</v>
      </c>
      <c r="R191" t="str">
        <f>"毕业论文"</f>
        <v>毕业论文</v>
      </c>
      <c r="S191" t="str">
        <f>"中文"</f>
        <v>中文</v>
      </c>
      <c r="T191" t="str">
        <f>"学校自选项目"</f>
        <v>学校自选项目</v>
      </c>
      <c r="U191" t="str">
        <f>"未审核"</f>
        <v>未审核</v>
      </c>
      <c r="X191" t="str">
        <f t="shared" si="341"/>
        <v>未填写</v>
      </c>
      <c r="Y191" t="str">
        <f t="shared" ref="Y191:AA191" si="497">"未上传"</f>
        <v>未上传</v>
      </c>
      <c r="Z191" t="str">
        <f t="shared" si="497"/>
        <v>未上传</v>
      </c>
      <c r="AA191" t="str">
        <f t="shared" si="497"/>
        <v>未上传</v>
      </c>
      <c r="AB191" t="str">
        <f>"未发布问题"</f>
        <v>未发布问题</v>
      </c>
      <c r="AC191" t="str">
        <f t="shared" si="343"/>
        <v>学生未填写</v>
      </c>
      <c r="AD191" t="str">
        <f t="shared" si="344"/>
        <v>未填写</v>
      </c>
      <c r="AE191" t="str">
        <f t="shared" si="345"/>
        <v>未签名</v>
      </c>
    </row>
    <row r="192" hidden="1" spans="1:31">
      <c r="A192" t="str">
        <f>"王志斌"</f>
        <v>王志斌</v>
      </c>
      <c r="B192" t="str">
        <f>"2217412117012"</f>
        <v>2217412117012</v>
      </c>
      <c r="C192" t="s">
        <v>298</v>
      </c>
      <c r="D192" t="str">
        <f t="shared" si="492"/>
        <v>工管22104</v>
      </c>
      <c r="E192" t="str">
        <f t="shared" si="426"/>
        <v>2022</v>
      </c>
      <c r="F192" t="str">
        <f t="shared" si="338"/>
        <v>东莞电研院</v>
      </c>
      <c r="G192" t="str">
        <f t="shared" si="339"/>
        <v>专升本</v>
      </c>
      <c r="H192" t="str">
        <f t="shared" si="493"/>
        <v>工商管理</v>
      </c>
      <c r="I192" t="str">
        <f t="shared" si="489"/>
        <v>函授</v>
      </c>
      <c r="J192" t="str">
        <f t="shared" si="494"/>
        <v>石晟瑛</v>
      </c>
      <c r="K192" t="s">
        <v>44</v>
      </c>
      <c r="L192" t="s">
        <v>53</v>
      </c>
      <c r="M192" t="s">
        <v>54</v>
      </c>
      <c r="Q192" t="str">
        <f t="shared" ref="Q192:Q197" si="498">"未选择"</f>
        <v>未选择</v>
      </c>
      <c r="U192" t="str">
        <f t="shared" ref="U192:W192" si="499">"-"</f>
        <v>-</v>
      </c>
      <c r="V192" t="str">
        <f t="shared" si="499"/>
        <v>-</v>
      </c>
      <c r="W192" t="str">
        <f t="shared" si="499"/>
        <v>-</v>
      </c>
      <c r="X192" t="str">
        <f t="shared" si="341"/>
        <v>未填写</v>
      </c>
      <c r="Y192" t="str">
        <f t="shared" ref="Y192:AA192" si="500">"未上传"</f>
        <v>未上传</v>
      </c>
      <c r="Z192" t="str">
        <f t="shared" si="500"/>
        <v>未上传</v>
      </c>
      <c r="AA192" t="str">
        <f t="shared" si="500"/>
        <v>未上传</v>
      </c>
      <c r="AB192" t="str">
        <f t="shared" ref="AB192:AB197" si="501">"非书面答辩"</f>
        <v>非书面答辩</v>
      </c>
      <c r="AC192" t="str">
        <f t="shared" si="343"/>
        <v>学生未填写</v>
      </c>
      <c r="AD192" t="str">
        <f t="shared" si="344"/>
        <v>未填写</v>
      </c>
      <c r="AE192" t="str">
        <f t="shared" si="345"/>
        <v>未签名</v>
      </c>
    </row>
    <row r="193" hidden="1" spans="1:31">
      <c r="A193" t="str">
        <f>"余楚婷"</f>
        <v>余楚婷</v>
      </c>
      <c r="B193" t="str">
        <f>"2217412117015"</f>
        <v>2217412117015</v>
      </c>
      <c r="C193" t="s">
        <v>299</v>
      </c>
      <c r="D193" t="str">
        <f t="shared" si="492"/>
        <v>工管22104</v>
      </c>
      <c r="E193" t="str">
        <f t="shared" si="426"/>
        <v>2022</v>
      </c>
      <c r="F193" t="str">
        <f t="shared" si="338"/>
        <v>东莞电研院</v>
      </c>
      <c r="G193" t="str">
        <f t="shared" si="339"/>
        <v>专升本</v>
      </c>
      <c r="H193" t="str">
        <f t="shared" si="493"/>
        <v>工商管理</v>
      </c>
      <c r="I193" t="str">
        <f t="shared" si="489"/>
        <v>函授</v>
      </c>
      <c r="J193" t="str">
        <f t="shared" si="494"/>
        <v>石晟瑛</v>
      </c>
      <c r="K193" t="s">
        <v>44</v>
      </c>
      <c r="L193" t="s">
        <v>53</v>
      </c>
      <c r="M193" t="s">
        <v>54</v>
      </c>
      <c r="Q193" t="str">
        <f t="shared" si="498"/>
        <v>未选择</v>
      </c>
      <c r="U193" t="str">
        <f t="shared" ref="U193:W193" si="502">"-"</f>
        <v>-</v>
      </c>
      <c r="V193" t="str">
        <f t="shared" si="502"/>
        <v>-</v>
      </c>
      <c r="W193" t="str">
        <f t="shared" si="502"/>
        <v>-</v>
      </c>
      <c r="X193" t="str">
        <f t="shared" si="341"/>
        <v>未填写</v>
      </c>
      <c r="Y193" t="str">
        <f t="shared" ref="Y193:AA193" si="503">"未上传"</f>
        <v>未上传</v>
      </c>
      <c r="Z193" t="str">
        <f t="shared" si="503"/>
        <v>未上传</v>
      </c>
      <c r="AA193" t="str">
        <f t="shared" si="503"/>
        <v>未上传</v>
      </c>
      <c r="AB193" t="str">
        <f t="shared" si="501"/>
        <v>非书面答辩</v>
      </c>
      <c r="AC193" t="str">
        <f t="shared" si="343"/>
        <v>学生未填写</v>
      </c>
      <c r="AD193" t="str">
        <f t="shared" si="344"/>
        <v>未填写</v>
      </c>
      <c r="AE193" t="str">
        <f t="shared" si="345"/>
        <v>未签名</v>
      </c>
    </row>
    <row r="194" hidden="1" spans="1:31">
      <c r="A194" t="str">
        <f>"丁芷姗"</f>
        <v>丁芷姗</v>
      </c>
      <c r="B194" t="str">
        <f>"2217412118005"</f>
        <v>2217412118005</v>
      </c>
      <c r="C194" t="s">
        <v>300</v>
      </c>
      <c r="D194" t="str">
        <f>"行管22168"</f>
        <v>行管22168</v>
      </c>
      <c r="E194" t="str">
        <f t="shared" si="426"/>
        <v>2022</v>
      </c>
      <c r="F194" t="str">
        <f t="shared" ref="F194:F197" si="504">"东莞电研院"</f>
        <v>东莞电研院</v>
      </c>
      <c r="G194" t="str">
        <f t="shared" ref="G194:G197" si="505">"专升本"</f>
        <v>专升本</v>
      </c>
      <c r="H194" t="str">
        <f>"行政管理"</f>
        <v>行政管理</v>
      </c>
      <c r="I194" t="str">
        <f t="shared" si="489"/>
        <v>函授</v>
      </c>
      <c r="J194" t="str">
        <f>"叶鹏"</f>
        <v>叶鹏</v>
      </c>
      <c r="K194" t="s">
        <v>44</v>
      </c>
      <c r="L194" t="s">
        <v>284</v>
      </c>
      <c r="M194" t="s">
        <v>285</v>
      </c>
      <c r="Q194" t="str">
        <f t="shared" si="498"/>
        <v>未选择</v>
      </c>
      <c r="U194" t="str">
        <f t="shared" ref="U194:W194" si="506">"-"</f>
        <v>-</v>
      </c>
      <c r="V194" t="str">
        <f t="shared" si="506"/>
        <v>-</v>
      </c>
      <c r="W194" t="str">
        <f t="shared" si="506"/>
        <v>-</v>
      </c>
      <c r="X194" t="str">
        <f t="shared" ref="X194:X197" si="507">"未填写"</f>
        <v>未填写</v>
      </c>
      <c r="Y194" t="str">
        <f t="shared" ref="Y194:AA194" si="508">"未上传"</f>
        <v>未上传</v>
      </c>
      <c r="Z194" t="str">
        <f t="shared" si="508"/>
        <v>未上传</v>
      </c>
      <c r="AA194" t="str">
        <f t="shared" si="508"/>
        <v>未上传</v>
      </c>
      <c r="AB194" t="str">
        <f t="shared" si="501"/>
        <v>非书面答辩</v>
      </c>
      <c r="AC194" t="str">
        <f t="shared" ref="AC194:AC197" si="509">"学生未填写"</f>
        <v>学生未填写</v>
      </c>
      <c r="AD194" t="str">
        <f t="shared" ref="AD194:AD197" si="510">"未填写"</f>
        <v>未填写</v>
      </c>
      <c r="AE194" t="str">
        <f t="shared" ref="AE194:AE197" si="511">"未签名"</f>
        <v>未签名</v>
      </c>
    </row>
    <row r="195" spans="1:31">
      <c r="A195" t="str">
        <f>"邹德辉"</f>
        <v>邹德辉</v>
      </c>
      <c r="B195" t="str">
        <f>"2217412119011"</f>
        <v>2217412119011</v>
      </c>
      <c r="C195" t="s">
        <v>301</v>
      </c>
      <c r="D195" t="str">
        <f>"计机科技22218"</f>
        <v>计机科技22218</v>
      </c>
      <c r="E195" t="str">
        <f t="shared" si="426"/>
        <v>2022</v>
      </c>
      <c r="F195" t="str">
        <f t="shared" si="504"/>
        <v>东莞电研院</v>
      </c>
      <c r="G195" t="str">
        <f t="shared" si="505"/>
        <v>专升本</v>
      </c>
      <c r="H195" t="str">
        <f>"计算机科学与技术"</f>
        <v>计算机科学与技术</v>
      </c>
      <c r="I195" t="str">
        <f t="shared" si="489"/>
        <v>函授</v>
      </c>
      <c r="J195" t="str">
        <f>"王求精"</f>
        <v>王求精</v>
      </c>
      <c r="K195" t="s">
        <v>32</v>
      </c>
      <c r="L195">
        <v>15818283086</v>
      </c>
      <c r="M195" s="1" t="s">
        <v>42</v>
      </c>
      <c r="Q195" t="str">
        <f t="shared" si="498"/>
        <v>未选择</v>
      </c>
      <c r="U195" t="str">
        <f t="shared" ref="U195:W195" si="512">"-"</f>
        <v>-</v>
      </c>
      <c r="V195" t="str">
        <f t="shared" si="512"/>
        <v>-</v>
      </c>
      <c r="W195" t="str">
        <f t="shared" si="512"/>
        <v>-</v>
      </c>
      <c r="X195" t="str">
        <f t="shared" si="507"/>
        <v>未填写</v>
      </c>
      <c r="Y195" t="str">
        <f t="shared" ref="Y195:AA195" si="513">"未上传"</f>
        <v>未上传</v>
      </c>
      <c r="Z195" t="str">
        <f t="shared" si="513"/>
        <v>未上传</v>
      </c>
      <c r="AA195" t="str">
        <f t="shared" si="513"/>
        <v>未上传</v>
      </c>
      <c r="AB195" t="str">
        <f t="shared" si="501"/>
        <v>非书面答辩</v>
      </c>
      <c r="AC195" t="str">
        <f t="shared" si="509"/>
        <v>学生未填写</v>
      </c>
      <c r="AD195" t="str">
        <f t="shared" si="510"/>
        <v>未填写</v>
      </c>
      <c r="AE195" t="str">
        <f t="shared" si="511"/>
        <v>未签名</v>
      </c>
    </row>
    <row r="196" spans="1:31">
      <c r="A196" t="str">
        <f>"莫健朗"</f>
        <v>莫健朗</v>
      </c>
      <c r="B196" t="str">
        <f>"2217412120004"</f>
        <v>2217412120004</v>
      </c>
      <c r="C196" t="s">
        <v>302</v>
      </c>
      <c r="D196" t="str">
        <f>"电气22025"</f>
        <v>电气22025</v>
      </c>
      <c r="E196" t="str">
        <f t="shared" si="426"/>
        <v>2022</v>
      </c>
      <c r="F196" t="str">
        <f t="shared" si="504"/>
        <v>东莞电研院</v>
      </c>
      <c r="G196" t="str">
        <f t="shared" si="505"/>
        <v>专升本</v>
      </c>
      <c r="H196" t="str">
        <f>"电气工程及其自动化"</f>
        <v>电气工程及其自动化</v>
      </c>
      <c r="I196" t="str">
        <f t="shared" si="489"/>
        <v>函授</v>
      </c>
      <c r="J196" t="str">
        <f>"母国才"</f>
        <v>母国才</v>
      </c>
      <c r="K196" t="s">
        <v>32</v>
      </c>
      <c r="L196" t="s">
        <v>48</v>
      </c>
      <c r="M196" t="s">
        <v>49</v>
      </c>
      <c r="Q196" t="str">
        <f t="shared" si="498"/>
        <v>未选择</v>
      </c>
      <c r="U196" t="str">
        <f t="shared" ref="U196:W196" si="514">"-"</f>
        <v>-</v>
      </c>
      <c r="V196" t="str">
        <f t="shared" si="514"/>
        <v>-</v>
      </c>
      <c r="W196" t="str">
        <f t="shared" si="514"/>
        <v>-</v>
      </c>
      <c r="X196" t="str">
        <f t="shared" si="507"/>
        <v>未填写</v>
      </c>
      <c r="Y196" t="str">
        <f t="shared" ref="Y196:AA196" si="515">"未上传"</f>
        <v>未上传</v>
      </c>
      <c r="Z196" t="str">
        <f t="shared" si="515"/>
        <v>未上传</v>
      </c>
      <c r="AA196" t="str">
        <f t="shared" si="515"/>
        <v>未上传</v>
      </c>
      <c r="AB196" t="str">
        <f t="shared" si="501"/>
        <v>非书面答辩</v>
      </c>
      <c r="AC196" t="str">
        <f t="shared" si="509"/>
        <v>学生未填写</v>
      </c>
      <c r="AD196" t="str">
        <f t="shared" si="510"/>
        <v>未填写</v>
      </c>
      <c r="AE196" t="str">
        <f t="shared" si="511"/>
        <v>未签名</v>
      </c>
    </row>
    <row r="197" spans="1:31">
      <c r="A197" t="str">
        <f>"林业根"</f>
        <v>林业根</v>
      </c>
      <c r="B197" t="str">
        <f>"2217412124003"</f>
        <v>2217412124003</v>
      </c>
      <c r="C197" t="s">
        <v>303</v>
      </c>
      <c r="D197" t="str">
        <f>"人力22249"</f>
        <v>人力22249</v>
      </c>
      <c r="E197" t="str">
        <f t="shared" si="426"/>
        <v>2022</v>
      </c>
      <c r="F197" t="str">
        <f t="shared" si="504"/>
        <v>东莞电研院</v>
      </c>
      <c r="G197" t="str">
        <f t="shared" si="505"/>
        <v>专升本</v>
      </c>
      <c r="H197" t="str">
        <f>"人力资源管理"</f>
        <v>人力资源管理</v>
      </c>
      <c r="I197" t="str">
        <f t="shared" si="489"/>
        <v>函授</v>
      </c>
      <c r="J197" t="str">
        <f>"邓华"</f>
        <v>邓华</v>
      </c>
      <c r="K197" t="s">
        <v>32</v>
      </c>
      <c r="L197" t="s">
        <v>280</v>
      </c>
      <c r="M197" t="s">
        <v>281</v>
      </c>
      <c r="Q197" t="str">
        <f t="shared" si="498"/>
        <v>未选择</v>
      </c>
      <c r="U197" t="str">
        <f t="shared" ref="U197:W197" si="516">"-"</f>
        <v>-</v>
      </c>
      <c r="V197" t="str">
        <f t="shared" si="516"/>
        <v>-</v>
      </c>
      <c r="W197" t="str">
        <f t="shared" si="516"/>
        <v>-</v>
      </c>
      <c r="X197" t="str">
        <f t="shared" si="507"/>
        <v>未填写</v>
      </c>
      <c r="Y197" t="str">
        <f t="shared" ref="Y197:AA197" si="517">"未上传"</f>
        <v>未上传</v>
      </c>
      <c r="Z197" t="str">
        <f t="shared" si="517"/>
        <v>未上传</v>
      </c>
      <c r="AA197" t="str">
        <f t="shared" si="517"/>
        <v>未上传</v>
      </c>
      <c r="AB197" t="str">
        <f t="shared" si="501"/>
        <v>非书面答辩</v>
      </c>
      <c r="AC197" t="str">
        <f t="shared" si="509"/>
        <v>学生未填写</v>
      </c>
      <c r="AD197" t="str">
        <f t="shared" si="510"/>
        <v>未填写</v>
      </c>
      <c r="AE197" t="str">
        <f t="shared" si="511"/>
        <v>未签名</v>
      </c>
    </row>
  </sheetData>
  <autoFilter ref="A1:W197">
    <filterColumn colId="10">
      <filters>
        <filter val="电科大研究院"/>
      </filters>
    </filterColumn>
    <extLst/>
  </autoFilter>
  <hyperlinks>
    <hyperlink ref="M5" r:id="rId1" display="625704476@qq.com"/>
    <hyperlink ref="M6" r:id="rId1" display="18666642725@qq.com"/>
    <hyperlink ref="M7" r:id="rId1" display="240785491@qq.com"/>
    <hyperlink ref="M8" r:id="rId1" display="1584156437@qq.com"/>
    <hyperlink ref="M9" r:id="rId1" display="625704476@qq.com"/>
    <hyperlink ref="M10" r:id="rId1" display="604529746@qq.com"/>
    <hyperlink ref="M11" r:id="rId1" display="604529746@qq.com"/>
    <hyperlink ref="M12" r:id="rId1" display="13265985799@qq.com"/>
    <hyperlink ref="M13" r:id="rId1" display="13265985799@qq.com"/>
    <hyperlink ref="M14" r:id="rId1" display="13265985799@qq.com"/>
    <hyperlink ref="M15" r:id="rId1" display="13265985799@qq.com"/>
    <hyperlink ref="M16" r:id="rId1" display="13560276627@qq.com"/>
    <hyperlink ref="M17" r:id="rId1" display="18218656201@qq.com"/>
    <hyperlink ref="M18" r:id="rId1" display="18218656201@qq.com"/>
    <hyperlink ref="M19" r:id="rId1" display="18218656201@qq.com"/>
    <hyperlink ref="M20" r:id="rId1" display="13560276627@qq.com"/>
    <hyperlink ref="M21" r:id="rId1" display="121091933@qq.com"/>
    <hyperlink ref="M22" r:id="rId1" display="121091933@qq.com"/>
    <hyperlink ref="M23" r:id="rId1" display="121091933@qq.com"/>
    <hyperlink ref="M24" r:id="rId1" display="120753601@qq.com"/>
    <hyperlink ref="M25" r:id="rId1" display="1584156437@qq.com"/>
    <hyperlink ref="M26" r:id="rId1" display="1584156437@qq.com"/>
    <hyperlink ref="M27" r:id="rId1" display="164961257@qq.com"/>
    <hyperlink ref="M28" r:id="rId1" display="625704476@qq.com"/>
    <hyperlink ref="M29" r:id="rId1" display="393388909@qq.com"/>
    <hyperlink ref="M30" r:id="rId1" display="625704476@qq.com"/>
    <hyperlink ref="M31" r:id="rId1" display="604529746@qq.com"/>
    <hyperlink ref="M32" r:id="rId1" display="13711235270@qq.com"/>
    <hyperlink ref="M33" r:id="rId1" display="13711235270@qq.com"/>
    <hyperlink ref="M34" r:id="rId1" display="13711235270@qq.com"/>
    <hyperlink ref="M35" r:id="rId1" display="625704476@qq.com"/>
    <hyperlink ref="M36" r:id="rId1" display="19878672082@qq.com"/>
    <hyperlink ref="M37" r:id="rId1" display="19878672082@qq.com"/>
    <hyperlink ref="M38" r:id="rId1" display="19878672082@qq.com"/>
    <hyperlink ref="M39" r:id="rId1" display="164355761@qq.com"/>
    <hyperlink ref="M40" r:id="rId1" display="18666642725@qq.com"/>
    <hyperlink ref="M41" r:id="rId1" display="18666642725@qq.com"/>
    <hyperlink ref="M42" r:id="rId1" display="704828329@qq.com"/>
    <hyperlink ref="M43" r:id="rId1" display="704828329@qq.com"/>
    <hyperlink ref="M44" r:id="rId1" display="704828329@qq.com"/>
    <hyperlink ref="M45" r:id="rId1" display="545936543@qq.com"/>
    <hyperlink ref="M46" r:id="rId1" display="=&quot;13826499205@qq.com&quot;"/>
    <hyperlink ref="M47" r:id="rId1" display="121091933@qq.com"/>
    <hyperlink ref="M48" r:id="rId1" display="121091933@qq.com"/>
    <hyperlink ref="M49" r:id="rId1" display="121091933@qq.com"/>
    <hyperlink ref="M50" r:id="rId1" display="121091933@qq.com"/>
    <hyperlink ref="M51" r:id="rId1" display="13631370823@qq.com"/>
    <hyperlink ref="M52" r:id="rId1" display="13631370823@qq.com"/>
    <hyperlink ref="M53" r:id="rId1" display="13631370823@qq.com"/>
    <hyperlink ref="M54" r:id="rId1" display="13631370823@qq.com"/>
    <hyperlink ref="M55" r:id="rId1" display="164355761@qq.com"/>
    <hyperlink ref="M56" r:id="rId1" display="393388909@qq.com"/>
    <hyperlink ref="M57" r:id="rId1" display="164355761@qq.com"/>
    <hyperlink ref="M58" r:id="rId1" display="164355761@qq.com"/>
    <hyperlink ref="M59" r:id="rId1" display="625704476@qq.com"/>
    <hyperlink ref="M60" r:id="rId1" display="63171327@qq.com"/>
    <hyperlink ref="M61" r:id="rId1" display="63171327@qq.com"/>
    <hyperlink ref="M62" r:id="rId1" display="625704476@qq.com"/>
    <hyperlink ref="M63" r:id="rId1" display="=&quot;13760660101@qq.com&quot;"/>
    <hyperlink ref="M64" r:id="rId1" display="530118201@qq.com"/>
    <hyperlink ref="M65" r:id="rId1" display="530118201@qq.com"/>
    <hyperlink ref="M66" r:id="rId1" display="530118201@qq.com"/>
    <hyperlink ref="M67" r:id="rId1" display="530118201@qq.com"/>
    <hyperlink ref="M68" r:id="rId1" display="530118201@qq.com"/>
    <hyperlink ref="M69" r:id="rId1" display="625704476@qq.com"/>
    <hyperlink ref="M70" r:id="rId1" display="625704476@qq.com"/>
    <hyperlink ref="M71" r:id="rId1" display="18765120882@qq.com"/>
    <hyperlink ref="M72" r:id="rId1" display="18765120882@qq.com"/>
    <hyperlink ref="M73" r:id="rId1" display="18765120882@qq.com"/>
    <hyperlink ref="M74" r:id="rId1" display="18765120882@qq.com"/>
    <hyperlink ref="M75" r:id="rId1" display="18765120882@qq.com"/>
    <hyperlink ref="M76" r:id="rId1" display="15626858926@qq.com"/>
    <hyperlink ref="M77" r:id="rId1" display="15626858926@qq.com"/>
    <hyperlink ref="M78" r:id="rId1" display="13631430118@qq.com"/>
    <hyperlink ref="M79" r:id="rId1" display="15626858926@qq.com"/>
    <hyperlink ref="M80" r:id="rId1" display="15626858926@qq.com"/>
    <hyperlink ref="M81" r:id="rId1" display="15626858926@qq.com"/>
    <hyperlink ref="M82" r:id="rId1" display="625704476@qq.com"/>
    <hyperlink ref="M83" r:id="rId1" display="625704476@qq.com"/>
    <hyperlink ref="M84" r:id="rId1" display="625704476@qq.com"/>
    <hyperlink ref="M85" r:id="rId1" display="625704476@qq.com"/>
    <hyperlink ref="M86" r:id="rId1" display="465924364@qq.com"/>
    <hyperlink ref="M87" r:id="rId1" display="465924364@qq.com"/>
    <hyperlink ref="M88" r:id="rId1" display="164961257@qq.com"/>
    <hyperlink ref="M89" r:id="rId1" display="164961257@qq.com"/>
    <hyperlink ref="M90" r:id="rId1" display="63171327@qq.com"/>
    <hyperlink ref="M91" r:id="rId1" display="530118201@qq.com"/>
    <hyperlink ref="M92" r:id="rId1" display="332822780@qq.com"/>
    <hyperlink ref="M93" r:id="rId1" display="332822780@qq.com"/>
    <hyperlink ref="M94" r:id="rId1" display="371481482@qq.com"/>
    <hyperlink ref="M95" r:id="rId1" display="332822780@qq.com"/>
    <hyperlink ref="M96" r:id="rId1" display="371481482@qq.com"/>
    <hyperlink ref="M97" r:id="rId1" display="13711235270@qq.com"/>
    <hyperlink ref="M98" r:id="rId1" display="13711235270@qq.com"/>
    <hyperlink ref="M99" r:id="rId1" display="13711235270@qq.com"/>
    <hyperlink ref="M100" r:id="rId1" display="18218656201@qq.com"/>
    <hyperlink ref="M101" r:id="rId1" display="18218656201@qq.com"/>
    <hyperlink ref="M102" r:id="rId1" display="18218656201@qq.com"/>
    <hyperlink ref="M103" r:id="rId1" display="18218656201@qq.com"/>
    <hyperlink ref="M104" r:id="rId1" display="18218656201@qq.com"/>
    <hyperlink ref="M105" r:id="rId1" display="18666642725@qq.com"/>
    <hyperlink ref="M106" r:id="rId1" display="=&quot;13826499205@qq.com&quot;"/>
    <hyperlink ref="M107" r:id="rId1" display="=&quot;13826499205@qq.com&quot;"/>
    <hyperlink ref="M108" r:id="rId1" display="=&quot;13826499205@qq.com&quot;"/>
    <hyperlink ref="M109" r:id="rId1" display="=&quot;13826499205@qq.com&quot;"/>
    <hyperlink ref="M110" r:id="rId1" display="=&quot;13826499205@qq.com&quot;"/>
    <hyperlink ref="M111" r:id="rId1" display="545936543@qq.com"/>
    <hyperlink ref="M112" r:id="rId1" display="13929592272@qq.com"/>
    <hyperlink ref="M113" r:id="rId1" display="13929592272@qq.com"/>
    <hyperlink ref="M114" r:id="rId1" display="415621886@qq.com"/>
    <hyperlink ref="M115" r:id="rId1" display="415621886@qq.com"/>
    <hyperlink ref="M116" r:id="rId1" display="415621886@qq.com"/>
    <hyperlink ref="M117" r:id="rId1" display="415621886@qq.com"/>
    <hyperlink ref="M118" r:id="rId1" display="415621886@qq.com"/>
    <hyperlink ref="M119" r:id="rId1" display="121091933@qq.com"/>
    <hyperlink ref="M120" r:id="rId1" display="121091933@qq.com"/>
    <hyperlink ref="M121" r:id="rId1" display="13265985799@qq.com"/>
    <hyperlink ref="M122" r:id="rId1" display="13631370823@qq.com"/>
    <hyperlink ref="M123" r:id="rId1" display="13631370823@qq.com"/>
    <hyperlink ref="M124" r:id="rId1" display="13631370823@qq.com"/>
    <hyperlink ref="M125" r:id="rId1" display="13631310678@qq.com"/>
    <hyperlink ref="M126" r:id="rId1" display="13631310678@qq.com"/>
    <hyperlink ref="M127" r:id="rId1" display="13631310678@qq.com"/>
    <hyperlink ref="M128" r:id="rId1" display="13631310678@qq.com"/>
    <hyperlink ref="M129" r:id="rId1" display="164355761@qq.com"/>
    <hyperlink ref="M130" r:id="rId1" display="164355761@qq.com"/>
    <hyperlink ref="M131" r:id="rId1" display="13258431189@qq.com"/>
    <hyperlink ref="M132" r:id="rId1" display="625704476@qq.com"/>
    <hyperlink ref="M133" r:id="rId1" display="625704476@qq.com"/>
    <hyperlink ref="M134" r:id="rId1" display="625704476@qq.com"/>
    <hyperlink ref="M135" r:id="rId1" display="625704476@qq.com"/>
    <hyperlink ref="M136" r:id="rId1" display="625704476@qq.com"/>
    <hyperlink ref="M137" r:id="rId1" display="625704476@qq.com"/>
    <hyperlink ref="M138" r:id="rId1" display="625704476@qq.com"/>
    <hyperlink ref="M139" r:id="rId1" display="625704476@qq.com"/>
    <hyperlink ref="M140" r:id="rId1" display="625704476@qq.com"/>
    <hyperlink ref="M141" r:id="rId1" display="625704476@qq.com"/>
    <hyperlink ref="M142" r:id="rId1" display="625704476@qq.com"/>
    <hyperlink ref="M143" r:id="rId1" display="625704476@qq.com"/>
    <hyperlink ref="M144" r:id="rId1" display="=&quot;13760660101@qq.com&quot;"/>
    <hyperlink ref="M145" r:id="rId1" display="=&quot;13760660101@qq.com&quot;"/>
    <hyperlink ref="M146" r:id="rId1" display="13560246162@qq.com"/>
    <hyperlink ref="M147" r:id="rId1" display="18802596786@qq.com"/>
    <hyperlink ref="M148" r:id="rId1" display="18802596786@qq.com"/>
    <hyperlink ref="M149" r:id="rId1" display="18802596786@qq.com"/>
    <hyperlink ref="M150" r:id="rId1" display="18802596786@qq.com"/>
    <hyperlink ref="M151" r:id="rId1" display="18802596786@qq.com"/>
    <hyperlink ref="M152" r:id="rId1" display="13631430118@qq.com"/>
    <hyperlink ref="M153" r:id="rId1" display="13631430118@qq.com"/>
    <hyperlink ref="M154" r:id="rId1" display="13710700319@qq.com"/>
    <hyperlink ref="M155" r:id="rId1" display="13710700319@qq.com"/>
    <hyperlink ref="M156" r:id="rId1" display="465924364@qq.com"/>
    <hyperlink ref="M157" r:id="rId1" display="465924364@qq.com"/>
    <hyperlink ref="M158" r:id="rId1" display="465924364@qq.com"/>
    <hyperlink ref="M159" r:id="rId1" display="465924364@qq.com"/>
    <hyperlink ref="M160" r:id="rId1" display="465924364@qq.com"/>
    <hyperlink ref="M161" r:id="rId1" display="yeyanliu@dgddt.com"/>
    <hyperlink ref="M162" r:id="rId1" display="120753601@qq.com"/>
    <hyperlink ref="M163" r:id="rId1" display="3228172042@qq.com"/>
    <hyperlink ref="M164" r:id="rId1" display="3228172042@qq.com"/>
    <hyperlink ref="M165" r:id="rId1" display="3228172042@qq.com"/>
    <hyperlink ref="M166" r:id="rId1" display="3228172042@qq.com"/>
    <hyperlink ref="M167" r:id="rId1" display="1584156437@qq.com"/>
    <hyperlink ref="M168" r:id="rId1" display="1584156437@qq.com"/>
    <hyperlink ref="M169" r:id="rId1" display="332822780@qq.com"/>
    <hyperlink ref="M170" r:id="rId1" display="332822780@qq.com"/>
    <hyperlink ref="M171" r:id="rId1" display="332822780@qq.com"/>
    <hyperlink ref="M172" r:id="rId1" display="332822780@qq.com"/>
    <hyperlink ref="M173" r:id="rId1" display="332822780@qq.com"/>
    <hyperlink ref="M174" r:id="rId1" display="332822780@qq.com"/>
    <hyperlink ref="M175" r:id="rId1" display="332822780@qq.com"/>
    <hyperlink ref="M176" r:id="rId1" display="625704476@qq.com"/>
    <hyperlink ref="M177" r:id="rId1" display="545933543@qq.com"/>
    <hyperlink ref="M178" r:id="rId1" display="1584156437@qq.com"/>
    <hyperlink ref="M179" r:id="rId1" display="18665003250@qq.com"/>
    <hyperlink ref="M180" r:id="rId1" display="yeyanliu@dgddt.com"/>
    <hyperlink ref="M181" r:id="rId1" display="120753601@qq.com"/>
    <hyperlink ref="M182" r:id="rId1" display="18218656201@qq.com"/>
    <hyperlink ref="M183" r:id="rId1" display="13560276627@qq.com"/>
    <hyperlink ref="M184" r:id="rId1" display="13560276627@qq.com"/>
    <hyperlink ref="M185" r:id="rId1" display="13560276627@qq.com"/>
    <hyperlink ref="M186" r:id="rId1" display="13560276627@qq.com"/>
    <hyperlink ref="M187" r:id="rId1" display="13560276627@qq.com"/>
    <hyperlink ref="M188" r:id="rId1" display="13560276627@qq.com"/>
    <hyperlink ref="M189" r:id="rId1" display="625704476@qq.com"/>
    <hyperlink ref="M190" r:id="rId1" display="604529746@qq.com"/>
    <hyperlink ref="M191" r:id="rId1" display="604529746@qq.com"/>
    <hyperlink ref="M192" r:id="rId1" display="604529746@qq.com"/>
    <hyperlink ref="M193" r:id="rId1" display="604529746@qq.com"/>
    <hyperlink ref="M194" r:id="rId1" display="18665003250@qq.com"/>
    <hyperlink ref="M195" r:id="rId1" display="625704476@qq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导出学生论文信息2024071009072547927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CC</cp:lastModifiedBy>
  <dcterms:created xsi:type="dcterms:W3CDTF">2024-07-10T01:21:00Z</dcterms:created>
  <dcterms:modified xsi:type="dcterms:W3CDTF">2024-07-10T01:44:34Z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132AC7F4336F4D4E979C60608D63A29A_13</vt:lpwstr>
  </property>
  <property fmtid="{D5CDD505-2E9C-101B-9397-08002B2CF9AE}" pid="3" name="KSOProductBuildVer">
    <vt:lpwstr>2052-12.1.0.17133</vt:lpwstr>
  </property>
</Properties>
</file>