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2023级导出学生论文信息2023.10.12" sheetId="1" r:id="rId1"/>
  </sheets>
  <definedNames>
    <definedName name="_xlnm._FilterDatabase" localSheetId="0" hidden="1">'2023级导出学生论文信息2023.10.12'!$A$1:$T$152</definedName>
  </definedNames>
  <calcPr calcId="144525"/>
</workbook>
</file>

<file path=xl/sharedStrings.xml><?xml version="1.0" encoding="utf-8"?>
<sst xmlns="http://schemas.openxmlformats.org/spreadsheetml/2006/main" count="22" uniqueCount="22">
  <si>
    <t>姓名</t>
  </si>
  <si>
    <t>学号</t>
  </si>
  <si>
    <t>班级</t>
  </si>
  <si>
    <t>年级</t>
  </si>
  <si>
    <t>站点</t>
  </si>
  <si>
    <t>层次</t>
  </si>
  <si>
    <t>专业</t>
  </si>
  <si>
    <t>学习形式</t>
  </si>
  <si>
    <t>指导老师</t>
  </si>
  <si>
    <t>学生选题</t>
  </si>
  <si>
    <t>研究方向</t>
  </si>
  <si>
    <t>关键词</t>
  </si>
  <si>
    <t>答辩方式</t>
  </si>
  <si>
    <t>审核状态</t>
  </si>
  <si>
    <t>审核人</t>
  </si>
  <si>
    <t>审核时间</t>
  </si>
  <si>
    <t>开题报告</t>
  </si>
  <si>
    <t>初稿</t>
  </si>
  <si>
    <t>复稿</t>
  </si>
  <si>
    <t>终稿</t>
  </si>
  <si>
    <t>论文查重</t>
  </si>
  <si>
    <t>=""一带一路”背景下中国茶叶出口存在的问题及对策"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</si>
</sst>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52"/>
  <sheetViews>
    <sheetView tabSelected="1" workbookViewId="0">
      <selection activeCell="B10" sqref="B10"/>
    </sheetView>
  </sheetViews>
  <sheetFormatPr defaultColWidth="9" defaultRowHeight="13.5"/>
  <cols>
    <col min="4" max="4" width="5.375" customWidth="1"/>
    <col min="5" max="5" width="10.875" customWidth="1"/>
    <col min="6" max="6" width="7" customWidth="1"/>
    <col min="7" max="7" width="23.375" customWidth="1"/>
    <col min="8" max="8" width="8.875" hidden="1" customWidth="1"/>
    <col min="9" max="9" width="8.875" customWidth="1"/>
    <col min="10" max="10" width="43.625" customWidth="1"/>
    <col min="11" max="12" width="9" hidden="1" customWidth="1"/>
    <col min="14" max="19" width="9" hidden="1" customWidth="1"/>
    <col min="21" max="21" width="15" customWidth="1"/>
  </cols>
  <sheetData>
    <row r="1" spans="1:2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0">
      <c r="A2" t="str">
        <f>"韩庆锋"</f>
        <v>韩庆锋</v>
      </c>
      <c r="B2" t="str">
        <f>"2017111109009"</f>
        <v>2017111109009</v>
      </c>
      <c r="C2" t="str">
        <f>"工管20081"</f>
        <v>工管20081</v>
      </c>
      <c r="D2" t="str">
        <f>"2020"</f>
        <v>2020</v>
      </c>
      <c r="E2" t="str">
        <f t="shared" ref="E2:E65" si="0">"东莞电研院"</f>
        <v>东莞电研院</v>
      </c>
      <c r="F2" t="str">
        <f t="shared" ref="F2:F65" si="1">"专升本"</f>
        <v>专升本</v>
      </c>
      <c r="G2" t="str">
        <f>"工商管理"</f>
        <v>工商管理</v>
      </c>
      <c r="H2" t="str">
        <f t="shared" ref="H2:H7" si="2">"业余"</f>
        <v>业余</v>
      </c>
      <c r="I2" t="str">
        <f>"刘鑫"</f>
        <v>刘鑫</v>
      </c>
      <c r="J2" t="str">
        <f>"市场经济背景下我国企业工商管理的发 展策略研究"</f>
        <v>市场经济背景下我国企业工商管理的发 展策略研究</v>
      </c>
      <c r="K2" t="str">
        <f>"理论研究"</f>
        <v>理论研究</v>
      </c>
      <c r="L2" t="str">
        <f>"企业;市场经济;工商管理;发展策略"</f>
        <v>企业;市场经济;工商管理;发展策略</v>
      </c>
      <c r="M2" t="str">
        <f t="shared" ref="M2:M12" si="3">"书面答辩"</f>
        <v>书面答辩</v>
      </c>
      <c r="N2" t="str">
        <f t="shared" ref="N2:N7" si="4">"审核通过"</f>
        <v>审核通过</v>
      </c>
      <c r="O2" t="str">
        <f>"刘鑫"</f>
        <v>刘鑫</v>
      </c>
      <c r="P2" t="str">
        <f>"2023-07-03 09:50"</f>
        <v>2023-07-03 09:50</v>
      </c>
      <c r="Q2" t="str">
        <f t="shared" ref="Q2:T2" si="5">"通过"</f>
        <v>通过</v>
      </c>
      <c r="R2" t="str">
        <f t="shared" si="5"/>
        <v>通过</v>
      </c>
      <c r="S2" t="str">
        <f t="shared" si="5"/>
        <v>通过</v>
      </c>
      <c r="T2" t="str">
        <f t="shared" si="5"/>
        <v>通过</v>
      </c>
    </row>
    <row r="3" spans="1:20">
      <c r="A3" t="str">
        <f>"萧梓豪"</f>
        <v>萧梓豪</v>
      </c>
      <c r="B3" t="str">
        <f>"2017111109024"</f>
        <v>2017111109024</v>
      </c>
      <c r="C3" t="str">
        <f>"工管20081"</f>
        <v>工管20081</v>
      </c>
      <c r="D3" t="str">
        <f>"2020"</f>
        <v>2020</v>
      </c>
      <c r="E3" t="str">
        <f t="shared" si="0"/>
        <v>东莞电研院</v>
      </c>
      <c r="F3" t="str">
        <f t="shared" si="1"/>
        <v>专升本</v>
      </c>
      <c r="G3" t="str">
        <f>"工商管理"</f>
        <v>工商管理</v>
      </c>
      <c r="H3" t="str">
        <f t="shared" si="2"/>
        <v>业余</v>
      </c>
      <c r="I3" t="str">
        <f>"刘鑫"</f>
        <v>刘鑫</v>
      </c>
      <c r="J3" t="str">
        <f>"网络直播新媒体营销发展前景研究"</f>
        <v>网络直播新媒体营销发展前景研究</v>
      </c>
      <c r="K3" t="str">
        <f>"新媒体营销发展"</f>
        <v>新媒体营销发展</v>
      </c>
      <c r="L3" t="str">
        <f>"新媒体;直播带货;发展趋势"</f>
        <v>新媒体;直播带货;发展趋势</v>
      </c>
      <c r="M3" t="str">
        <f t="shared" si="3"/>
        <v>书面答辩</v>
      </c>
      <c r="N3" t="str">
        <f t="shared" si="4"/>
        <v>审核通过</v>
      </c>
      <c r="O3" t="str">
        <f>"黄常喜"</f>
        <v>黄常喜</v>
      </c>
      <c r="P3" t="str">
        <f>"2023-07-04 14:39"</f>
        <v>2023-07-04 14:39</v>
      </c>
      <c r="Q3" t="str">
        <f t="shared" ref="Q3:T3" si="6">"通过"</f>
        <v>通过</v>
      </c>
      <c r="R3" t="str">
        <f t="shared" si="6"/>
        <v>通过</v>
      </c>
      <c r="S3" t="str">
        <f t="shared" si="6"/>
        <v>通过</v>
      </c>
      <c r="T3" t="str">
        <f t="shared" si="6"/>
        <v>通过</v>
      </c>
    </row>
    <row r="4" spans="1:20">
      <c r="A4" t="str">
        <f>"李玥"</f>
        <v>李玥</v>
      </c>
      <c r="B4" t="str">
        <f>"2017111112007"</f>
        <v>2017111112007</v>
      </c>
      <c r="C4" t="str">
        <f>"行管20099"</f>
        <v>行管20099</v>
      </c>
      <c r="D4" t="str">
        <f>"2020"</f>
        <v>2020</v>
      </c>
      <c r="E4" t="str">
        <f t="shared" si="0"/>
        <v>东莞电研院</v>
      </c>
      <c r="F4" t="str">
        <f t="shared" si="1"/>
        <v>专升本</v>
      </c>
      <c r="G4" t="str">
        <f>"行政管理"</f>
        <v>行政管理</v>
      </c>
      <c r="H4" t="str">
        <f t="shared" si="2"/>
        <v>业余</v>
      </c>
      <c r="I4" t="str">
        <f>"刘文兰"</f>
        <v>刘文兰</v>
      </c>
      <c r="J4" t="str">
        <f>"分析我国的行政职能转变和行政改革"</f>
        <v>分析我国的行政职能转变和行政改革</v>
      </c>
      <c r="K4" t="str">
        <f>"行政职能转变"</f>
        <v>行政职能转变</v>
      </c>
      <c r="L4" t="str">
        <f>"职能转变;行政改革;职能理论"</f>
        <v>职能转变;行政改革;职能理论</v>
      </c>
      <c r="M4" t="str">
        <f t="shared" si="3"/>
        <v>书面答辩</v>
      </c>
      <c r="N4" t="str">
        <f t="shared" si="4"/>
        <v>审核通过</v>
      </c>
      <c r="O4" t="str">
        <f>"刘文兰"</f>
        <v>刘文兰</v>
      </c>
      <c r="P4" t="str">
        <f>"2023-06-30 14:44"</f>
        <v>2023-06-30 14:44</v>
      </c>
      <c r="Q4" t="str">
        <f t="shared" ref="Q4:T4" si="7">"通过"</f>
        <v>通过</v>
      </c>
      <c r="R4" t="str">
        <f t="shared" si="7"/>
        <v>通过</v>
      </c>
      <c r="S4" t="str">
        <f t="shared" si="7"/>
        <v>通过</v>
      </c>
      <c r="T4" t="str">
        <f t="shared" si="7"/>
        <v>通过</v>
      </c>
    </row>
    <row r="5" spans="1:20">
      <c r="A5" t="str">
        <f>"谢卫斌"</f>
        <v>谢卫斌</v>
      </c>
      <c r="B5" t="str">
        <f>"2017111112015"</f>
        <v>2017111112015</v>
      </c>
      <c r="C5" t="str">
        <f>"行管20099"</f>
        <v>行管20099</v>
      </c>
      <c r="D5" t="str">
        <f>"2020"</f>
        <v>2020</v>
      </c>
      <c r="E5" t="str">
        <f t="shared" si="0"/>
        <v>东莞电研院</v>
      </c>
      <c r="F5" t="str">
        <f t="shared" si="1"/>
        <v>专升本</v>
      </c>
      <c r="G5" t="str">
        <f>"行政管理"</f>
        <v>行政管理</v>
      </c>
      <c r="H5" t="str">
        <f t="shared" si="2"/>
        <v>业余</v>
      </c>
      <c r="I5" t="str">
        <f>"刘文兰"</f>
        <v>刘文兰</v>
      </c>
      <c r="J5" t="str">
        <f>"干部选拔体制研究探讨"</f>
        <v>干部选拔体制研究探讨</v>
      </c>
      <c r="K5" t="str">
        <f>"干部选拔体制"</f>
        <v>干部选拔体制</v>
      </c>
      <c r="L5" t="str">
        <f>"干部选拔体制;政府部门;干部职能"</f>
        <v>干部选拔体制;政府部门;干部职能</v>
      </c>
      <c r="M5" t="str">
        <f t="shared" si="3"/>
        <v>书面答辩</v>
      </c>
      <c r="N5" t="str">
        <f t="shared" si="4"/>
        <v>审核通过</v>
      </c>
      <c r="O5" t="str">
        <f>"刘文兰"</f>
        <v>刘文兰</v>
      </c>
      <c r="P5" t="str">
        <f>"2023-06-28 10:04"</f>
        <v>2023-06-28 10:04</v>
      </c>
      <c r="Q5" t="str">
        <f t="shared" ref="Q5:T5" si="8">"通过"</f>
        <v>通过</v>
      </c>
      <c r="R5" t="str">
        <f t="shared" si="8"/>
        <v>通过</v>
      </c>
      <c r="S5" t="str">
        <f t="shared" si="8"/>
        <v>通过</v>
      </c>
      <c r="T5" t="str">
        <f t="shared" si="8"/>
        <v>通过</v>
      </c>
    </row>
    <row r="6" spans="1:20">
      <c r="A6" t="str">
        <f>"何华昌"</f>
        <v>何华昌</v>
      </c>
      <c r="B6" t="str">
        <f>"2017111114003"</f>
        <v>2017111114003</v>
      </c>
      <c r="C6" t="str">
        <f>"电商20039"</f>
        <v>电商20039</v>
      </c>
      <c r="D6" t="str">
        <f>"2020"</f>
        <v>2020</v>
      </c>
      <c r="E6" t="str">
        <f t="shared" si="0"/>
        <v>东莞电研院</v>
      </c>
      <c r="F6" t="str">
        <f t="shared" si="1"/>
        <v>专升本</v>
      </c>
      <c r="G6" t="str">
        <f>"电子商务"</f>
        <v>电子商务</v>
      </c>
      <c r="H6" t="str">
        <f t="shared" si="2"/>
        <v>业余</v>
      </c>
      <c r="I6" t="str">
        <f>"戴锡伟"</f>
        <v>戴锡伟</v>
      </c>
      <c r="J6" t="str">
        <f>"社交电商的现状及未来发展"</f>
        <v>社交电商的现状及未来发展</v>
      </c>
      <c r="K6" t="str">
        <f>"社交电商现状发展"</f>
        <v>社交电商现状发展</v>
      </c>
      <c r="L6" t="str">
        <f>"互联网;社交电商;营销"</f>
        <v>互联网;社交电商;营销</v>
      </c>
      <c r="M6" t="str">
        <f t="shared" si="3"/>
        <v>书面答辩</v>
      </c>
      <c r="N6" t="str">
        <f t="shared" si="4"/>
        <v>审核通过</v>
      </c>
      <c r="O6" t="str">
        <f>"戴锡伟"</f>
        <v>戴锡伟</v>
      </c>
      <c r="P6" t="str">
        <f>"2023-06-29 16:59"</f>
        <v>2023-06-29 16:59</v>
      </c>
      <c r="Q6" t="str">
        <f t="shared" ref="Q6:T6" si="9">"通过"</f>
        <v>通过</v>
      </c>
      <c r="R6" t="str">
        <f t="shared" si="9"/>
        <v>通过</v>
      </c>
      <c r="S6" t="str">
        <f t="shared" si="9"/>
        <v>通过</v>
      </c>
      <c r="T6" t="str">
        <f t="shared" si="9"/>
        <v>通过</v>
      </c>
    </row>
    <row r="7" spans="1:20">
      <c r="A7" t="str">
        <f>"叶世汉"</f>
        <v>叶世汉</v>
      </c>
      <c r="B7" t="str">
        <f>"2117111101005"</f>
        <v>2117111101005</v>
      </c>
      <c r="C7" t="str">
        <f>"金融21126"</f>
        <v>金融21126</v>
      </c>
      <c r="D7" t="str">
        <f t="shared" ref="D7:D41" si="10">"2021"</f>
        <v>2021</v>
      </c>
      <c r="E7" t="str">
        <f t="shared" si="0"/>
        <v>东莞电研院</v>
      </c>
      <c r="F7" t="str">
        <f t="shared" si="1"/>
        <v>专升本</v>
      </c>
      <c r="G7" t="str">
        <f>"金融学"</f>
        <v>金融学</v>
      </c>
      <c r="H7" t="str">
        <f t="shared" si="2"/>
        <v>业余</v>
      </c>
      <c r="I7" t="str">
        <f>"许雪玉"</f>
        <v>许雪玉</v>
      </c>
      <c r="J7" t="str">
        <f>"中国金融体系的改革方向"</f>
        <v>中国金融体系的改革方向</v>
      </c>
      <c r="K7" t="str">
        <f>"金融体系"</f>
        <v>金融体系</v>
      </c>
      <c r="L7" t="str">
        <f>"世界工厂;人民币国际化;金融体系"</f>
        <v>世界工厂;人民币国际化;金融体系</v>
      </c>
      <c r="M7" t="str">
        <f t="shared" si="3"/>
        <v>书面答辩</v>
      </c>
      <c r="N7" t="str">
        <f t="shared" si="4"/>
        <v>审核通过</v>
      </c>
      <c r="O7" t="str">
        <f>"许雪玉"</f>
        <v>许雪玉</v>
      </c>
      <c r="P7" t="str">
        <f>"2023-06-30 21:24"</f>
        <v>2023-06-30 21:24</v>
      </c>
      <c r="Q7" t="str">
        <f t="shared" ref="Q7:T7" si="11">"通过"</f>
        <v>通过</v>
      </c>
      <c r="R7" t="str">
        <f t="shared" si="11"/>
        <v>通过</v>
      </c>
      <c r="S7" t="str">
        <f t="shared" si="11"/>
        <v>通过</v>
      </c>
      <c r="T7" t="str">
        <f t="shared" si="11"/>
        <v>通过</v>
      </c>
    </row>
    <row r="8" spans="1:20">
      <c r="A8" t="str">
        <f>"沈志成"</f>
        <v>沈志成</v>
      </c>
      <c r="B8" t="str">
        <f>"2117111104012"</f>
        <v>2117111104012</v>
      </c>
      <c r="C8" t="str">
        <f>"英语21180"</f>
        <v>英语21180</v>
      </c>
      <c r="D8" t="str">
        <f t="shared" si="10"/>
        <v>2021</v>
      </c>
      <c r="E8" t="str">
        <f t="shared" si="0"/>
        <v>东莞电研院</v>
      </c>
      <c r="F8" t="str">
        <f t="shared" si="1"/>
        <v>专升本</v>
      </c>
      <c r="G8" t="str">
        <f>"英语"</f>
        <v>英语</v>
      </c>
      <c r="H8" t="str">
        <f t="shared" ref="H8:H21" si="12">"业余"</f>
        <v>业余</v>
      </c>
      <c r="I8" t="str">
        <f>"陈丽兰"</f>
        <v>陈丽兰</v>
      </c>
      <c r="J8" t="str">
        <f>"A Probe into the Feminist Idea of Jane Eyre 《简爱》男女平等思想的探索"</f>
        <v>A Probe into the Feminist Idea of Jane Eyre 《简爱》男女平等思想的探索</v>
      </c>
      <c r="K8" t="str">
        <f>"翻译学"</f>
        <v>翻译学</v>
      </c>
      <c r="L8" t="str">
        <f>"翻译;男女平等‘;《简爱》"</f>
        <v>翻译;男女平等‘;《简爱》</v>
      </c>
      <c r="M8" t="str">
        <f t="shared" si="3"/>
        <v>书面答辩</v>
      </c>
      <c r="N8" t="str">
        <f t="shared" ref="N8:N30" si="13">"审核通过"</f>
        <v>审核通过</v>
      </c>
      <c r="O8" t="str">
        <f>"陈丽兰"</f>
        <v>陈丽兰</v>
      </c>
      <c r="P8" t="str">
        <f>"2023-06-30 09:09"</f>
        <v>2023-06-30 09:09</v>
      </c>
      <c r="Q8" t="str">
        <f t="shared" ref="Q8:T8" si="14">"通过"</f>
        <v>通过</v>
      </c>
      <c r="R8" t="str">
        <f t="shared" si="14"/>
        <v>通过</v>
      </c>
      <c r="S8" t="str">
        <f t="shared" si="14"/>
        <v>通过</v>
      </c>
      <c r="T8" t="str">
        <f t="shared" si="14"/>
        <v>通过</v>
      </c>
    </row>
    <row r="9" spans="1:20">
      <c r="A9" t="str">
        <f>"陈锐荣"</f>
        <v>陈锐荣</v>
      </c>
      <c r="B9" t="str">
        <f>"2117111105002"</f>
        <v>2117111105002</v>
      </c>
      <c r="C9" t="str">
        <f t="shared" ref="C9:C11" si="15">"机械21110"</f>
        <v>机械21110</v>
      </c>
      <c r="D9" t="str">
        <f t="shared" si="10"/>
        <v>2021</v>
      </c>
      <c r="E9" t="str">
        <f t="shared" si="0"/>
        <v>东莞电研院</v>
      </c>
      <c r="F9" t="str">
        <f t="shared" si="1"/>
        <v>专升本</v>
      </c>
      <c r="G9" t="str">
        <f t="shared" ref="G9:G11" si="16">"机械设计制造及其自动化"</f>
        <v>机械设计制造及其自动化</v>
      </c>
      <c r="H9" t="str">
        <f t="shared" si="12"/>
        <v>业余</v>
      </c>
      <c r="I9" t="str">
        <f t="shared" ref="I9:I11" si="17">"刘明慧"</f>
        <v>刘明慧</v>
      </c>
      <c r="J9" t="str">
        <f>"现代农业与农业机械化发展"</f>
        <v>现代农业与农业机械化发展</v>
      </c>
      <c r="K9" t="str">
        <f>"农业机械化"</f>
        <v>农业机械化</v>
      </c>
      <c r="L9" t="str">
        <f>"现代农业;机械化;农业机械化"</f>
        <v>现代农业;机械化;农业机械化</v>
      </c>
      <c r="M9" t="str">
        <f t="shared" si="3"/>
        <v>书面答辩</v>
      </c>
      <c r="N9" t="str">
        <f t="shared" si="13"/>
        <v>审核通过</v>
      </c>
      <c r="O9" t="str">
        <f t="shared" ref="O9:O11" si="18">"黄秀花"</f>
        <v>黄秀花</v>
      </c>
      <c r="P9" t="str">
        <f>"2023-06-29 16:48"</f>
        <v>2023-06-29 16:48</v>
      </c>
      <c r="Q9" t="str">
        <f>"未填写"</f>
        <v>未填写</v>
      </c>
      <c r="R9" t="str">
        <f t="shared" ref="R9:T9" si="19">"未上传"</f>
        <v>未上传</v>
      </c>
      <c r="S9" t="str">
        <f t="shared" si="19"/>
        <v>未上传</v>
      </c>
      <c r="T9" t="str">
        <f t="shared" si="19"/>
        <v>未上传</v>
      </c>
    </row>
    <row r="10" spans="1:20">
      <c r="A10" t="str">
        <f>"吴琼锋"</f>
        <v>吴琼锋</v>
      </c>
      <c r="B10" t="str">
        <f>"2117111105013"</f>
        <v>2117111105013</v>
      </c>
      <c r="C10" t="str">
        <f t="shared" si="15"/>
        <v>机械21110</v>
      </c>
      <c r="D10" t="str">
        <f t="shared" si="10"/>
        <v>2021</v>
      </c>
      <c r="E10" t="str">
        <f t="shared" si="0"/>
        <v>东莞电研院</v>
      </c>
      <c r="F10" t="str">
        <f t="shared" si="1"/>
        <v>专升本</v>
      </c>
      <c r="G10" t="str">
        <f t="shared" si="16"/>
        <v>机械设计制造及其自动化</v>
      </c>
      <c r="H10" t="str">
        <f t="shared" si="12"/>
        <v>业余</v>
      </c>
      <c r="I10" t="str">
        <f t="shared" si="17"/>
        <v>刘明慧</v>
      </c>
      <c r="J10" t="str">
        <f>"多功能数显键盘的设计"</f>
        <v>多功能数显键盘的设计</v>
      </c>
      <c r="K10" t="str">
        <f>"数显键盘设计"</f>
        <v>数显键盘设计</v>
      </c>
      <c r="L10" t="str">
        <f>"键盘;多功能;数显"</f>
        <v>键盘;多功能;数显</v>
      </c>
      <c r="M10" t="str">
        <f t="shared" si="3"/>
        <v>书面答辩</v>
      </c>
      <c r="N10" t="str">
        <f t="shared" si="13"/>
        <v>审核通过</v>
      </c>
      <c r="O10" t="str">
        <f t="shared" si="18"/>
        <v>黄秀花</v>
      </c>
      <c r="P10" t="str">
        <f>"2023-06-30 16:50"</f>
        <v>2023-06-30 16:50</v>
      </c>
      <c r="Q10" t="str">
        <f t="shared" ref="Q10:T10" si="20">"通过"</f>
        <v>通过</v>
      </c>
      <c r="R10" t="str">
        <f t="shared" si="20"/>
        <v>通过</v>
      </c>
      <c r="S10" t="str">
        <f t="shared" si="20"/>
        <v>通过</v>
      </c>
      <c r="T10" t="str">
        <f t="shared" si="20"/>
        <v>通过</v>
      </c>
    </row>
    <row r="11" spans="1:20">
      <c r="A11" t="str">
        <f>"赵宸"</f>
        <v>赵宸</v>
      </c>
      <c r="B11" t="str">
        <f>"2117111105015"</f>
        <v>2117111105015</v>
      </c>
      <c r="C11" t="str">
        <f t="shared" si="15"/>
        <v>机械21110</v>
      </c>
      <c r="D11" t="str">
        <f t="shared" si="10"/>
        <v>2021</v>
      </c>
      <c r="E11" t="str">
        <f t="shared" si="0"/>
        <v>东莞电研院</v>
      </c>
      <c r="F11" t="str">
        <f t="shared" si="1"/>
        <v>专升本</v>
      </c>
      <c r="G11" t="str">
        <f t="shared" si="16"/>
        <v>机械设计制造及其自动化</v>
      </c>
      <c r="H11" t="str">
        <f t="shared" si="12"/>
        <v>业余</v>
      </c>
      <c r="I11" t="str">
        <f t="shared" si="17"/>
        <v>刘明慧</v>
      </c>
      <c r="J11" t="str">
        <f>"齿轮箱装配工艺设计"</f>
        <v>齿轮箱装配工艺设计</v>
      </c>
      <c r="K11" t="str">
        <f>"齿轮箱装配"</f>
        <v>齿轮箱装配</v>
      </c>
      <c r="L11" t="str">
        <f>"齿轮;工艺设计;齿轮箱装配"</f>
        <v>齿轮;工艺设计;齿轮箱装配</v>
      </c>
      <c r="M11" t="str">
        <f t="shared" si="3"/>
        <v>书面答辩</v>
      </c>
      <c r="N11" t="str">
        <f t="shared" si="13"/>
        <v>审核通过</v>
      </c>
      <c r="O11" t="str">
        <f t="shared" si="18"/>
        <v>黄秀花</v>
      </c>
      <c r="P11" t="str">
        <f>"2023-06-29 16:48"</f>
        <v>2023-06-29 16:48</v>
      </c>
      <c r="Q11" t="str">
        <f t="shared" ref="Q11:T11" si="21">"通过"</f>
        <v>通过</v>
      </c>
      <c r="R11" t="str">
        <f t="shared" si="21"/>
        <v>通过</v>
      </c>
      <c r="S11" t="str">
        <f t="shared" si="21"/>
        <v>通过</v>
      </c>
      <c r="T11" t="str">
        <f t="shared" si="21"/>
        <v>通过</v>
      </c>
    </row>
    <row r="12" spans="1:20">
      <c r="A12" t="str">
        <f>"白东亮"</f>
        <v>白东亮</v>
      </c>
      <c r="B12" t="str">
        <f>"2117111106001"</f>
        <v>2117111106001</v>
      </c>
      <c r="C12" t="str">
        <f t="shared" ref="C12:C16" si="22">"电气21020"</f>
        <v>电气21020</v>
      </c>
      <c r="D12" t="str">
        <f t="shared" si="10"/>
        <v>2021</v>
      </c>
      <c r="E12" t="str">
        <f t="shared" si="0"/>
        <v>东莞电研院</v>
      </c>
      <c r="F12" t="str">
        <f t="shared" si="1"/>
        <v>专升本</v>
      </c>
      <c r="G12" t="str">
        <f t="shared" ref="G12:G16" si="23">"电气工程及其自动化"</f>
        <v>电气工程及其自动化</v>
      </c>
      <c r="H12" t="str">
        <f t="shared" si="12"/>
        <v>业余</v>
      </c>
      <c r="I12" t="str">
        <f t="shared" ref="I12:I16" si="24">"蔡宗朝"</f>
        <v>蔡宗朝</v>
      </c>
      <c r="J12" t="str">
        <f>"电气工程及其自动化中存在的问题及解决措施"</f>
        <v>电气工程及其自动化中存在的问题及解决措施</v>
      </c>
      <c r="K12" t="str">
        <f>"电气自动化"</f>
        <v>电气自动化</v>
      </c>
      <c r="L12" t="str">
        <f>"电气工程;自动化;问题;解决措施"</f>
        <v>电气工程;自动化;问题;解决措施</v>
      </c>
      <c r="M12" t="str">
        <f t="shared" si="3"/>
        <v>书面答辩</v>
      </c>
      <c r="N12" t="str">
        <f t="shared" si="13"/>
        <v>审核通过</v>
      </c>
      <c r="O12" t="str">
        <f t="shared" ref="O12:O16" si="25">"蔡宗朝"</f>
        <v>蔡宗朝</v>
      </c>
      <c r="P12" t="str">
        <f t="shared" ref="P12:P15" si="26">"2023-06-30 15:44"</f>
        <v>2023-06-30 15:44</v>
      </c>
      <c r="Q12" t="str">
        <f t="shared" ref="Q12:T12" si="27">"通过"</f>
        <v>通过</v>
      </c>
      <c r="R12" t="str">
        <f t="shared" si="27"/>
        <v>通过</v>
      </c>
      <c r="S12" t="str">
        <f t="shared" si="27"/>
        <v>通过</v>
      </c>
      <c r="T12" t="str">
        <f t="shared" si="27"/>
        <v>通过</v>
      </c>
    </row>
    <row r="13" spans="1:20">
      <c r="A13" t="str">
        <f>"陈永彬"</f>
        <v>陈永彬</v>
      </c>
      <c r="B13" t="str">
        <f>"2117111106003"</f>
        <v>2117111106003</v>
      </c>
      <c r="C13" t="str">
        <f t="shared" si="22"/>
        <v>电气21020</v>
      </c>
      <c r="D13" t="str">
        <f t="shared" si="10"/>
        <v>2021</v>
      </c>
      <c r="E13" t="str">
        <f t="shared" si="0"/>
        <v>东莞电研院</v>
      </c>
      <c r="F13" t="str">
        <f t="shared" si="1"/>
        <v>专升本</v>
      </c>
      <c r="G13" t="str">
        <f t="shared" si="23"/>
        <v>电气工程及其自动化</v>
      </c>
      <c r="H13" t="str">
        <f t="shared" si="12"/>
        <v>业余</v>
      </c>
      <c r="I13" t="str">
        <f t="shared" si="24"/>
        <v>蔡宗朝</v>
      </c>
      <c r="J13" t="str">
        <f>"基于PLC和MCGS的车库自动门控制系统设计"</f>
        <v>基于PLC和MCGS的车库自动门控制系统设计</v>
      </c>
      <c r="K13" t="str">
        <f>"自动门控制系统"</f>
        <v>自动门控制系统</v>
      </c>
      <c r="L13" t="str">
        <f>"车库自动门;控制系统设计;PLC"</f>
        <v>车库自动门;控制系统设计;PLC</v>
      </c>
      <c r="M13" t="str">
        <f>"现场答辩"</f>
        <v>现场答辩</v>
      </c>
      <c r="N13" t="str">
        <f t="shared" si="13"/>
        <v>审核通过</v>
      </c>
      <c r="O13" t="str">
        <f t="shared" si="25"/>
        <v>蔡宗朝</v>
      </c>
      <c r="P13" t="str">
        <f t="shared" si="26"/>
        <v>2023-06-30 15:44</v>
      </c>
      <c r="Q13" t="str">
        <f t="shared" ref="Q13:T13" si="28">"通过"</f>
        <v>通过</v>
      </c>
      <c r="R13" t="str">
        <f t="shared" si="28"/>
        <v>通过</v>
      </c>
      <c r="S13" t="str">
        <f t="shared" si="28"/>
        <v>通过</v>
      </c>
      <c r="T13" t="str">
        <f t="shared" si="28"/>
        <v>通过</v>
      </c>
    </row>
    <row r="14" spans="1:20">
      <c r="A14" t="str">
        <f>"方俊"</f>
        <v>方俊</v>
      </c>
      <c r="B14" t="str">
        <f>"2117111106006"</f>
        <v>2117111106006</v>
      </c>
      <c r="C14" t="str">
        <f t="shared" si="22"/>
        <v>电气21020</v>
      </c>
      <c r="D14" t="str">
        <f t="shared" si="10"/>
        <v>2021</v>
      </c>
      <c r="E14" t="str">
        <f t="shared" si="0"/>
        <v>东莞电研院</v>
      </c>
      <c r="F14" t="str">
        <f t="shared" si="1"/>
        <v>专升本</v>
      </c>
      <c r="G14" t="str">
        <f t="shared" si="23"/>
        <v>电气工程及其自动化</v>
      </c>
      <c r="H14" t="str">
        <f t="shared" si="12"/>
        <v>业余</v>
      </c>
      <c r="I14" t="str">
        <f t="shared" si="24"/>
        <v>蔡宗朝</v>
      </c>
      <c r="J14" t="str">
        <f>"楼道口声控灯控制系统的设计"</f>
        <v>楼道口声控灯控制系统的设计</v>
      </c>
      <c r="K14" t="str">
        <f>"控制系统设计"</f>
        <v>控制系统设计</v>
      </c>
      <c r="L14" t="str">
        <f>"声控灯;控制系统;系统设计"</f>
        <v>声控灯;控制系统;系统设计</v>
      </c>
      <c r="M14" t="str">
        <f t="shared" ref="M14:M31" si="29">"书面答辩"</f>
        <v>书面答辩</v>
      </c>
      <c r="N14" t="str">
        <f t="shared" si="13"/>
        <v>审核通过</v>
      </c>
      <c r="O14" t="str">
        <f t="shared" si="25"/>
        <v>蔡宗朝</v>
      </c>
      <c r="P14" t="str">
        <f>"2023-06-30 16:51"</f>
        <v>2023-06-30 16:51</v>
      </c>
      <c r="Q14" t="str">
        <f t="shared" ref="Q14:T14" si="30">"通过"</f>
        <v>通过</v>
      </c>
      <c r="R14" t="str">
        <f t="shared" si="30"/>
        <v>通过</v>
      </c>
      <c r="S14" t="str">
        <f t="shared" si="30"/>
        <v>通过</v>
      </c>
      <c r="T14" t="str">
        <f t="shared" si="30"/>
        <v>通过</v>
      </c>
    </row>
    <row r="15" spans="1:20">
      <c r="A15" t="str">
        <f>"李泓希"</f>
        <v>李泓希</v>
      </c>
      <c r="B15" t="str">
        <f>"2117111106012"</f>
        <v>2117111106012</v>
      </c>
      <c r="C15" t="str">
        <f t="shared" si="22"/>
        <v>电气21020</v>
      </c>
      <c r="D15" t="str">
        <f t="shared" si="10"/>
        <v>2021</v>
      </c>
      <c r="E15" t="str">
        <f t="shared" si="0"/>
        <v>东莞电研院</v>
      </c>
      <c r="F15" t="str">
        <f t="shared" si="1"/>
        <v>专升本</v>
      </c>
      <c r="G15" t="str">
        <f t="shared" si="23"/>
        <v>电气工程及其自动化</v>
      </c>
      <c r="H15" t="str">
        <f t="shared" si="12"/>
        <v>业余</v>
      </c>
      <c r="I15" t="str">
        <f t="shared" si="24"/>
        <v>蔡宗朝</v>
      </c>
      <c r="J15" t="str">
        <f>"PLC在全自动洗衣机系统控制中的应用"</f>
        <v>PLC在全自动洗衣机系统控制中的应用</v>
      </c>
      <c r="K15" t="str">
        <f>"PLC"</f>
        <v>PLC</v>
      </c>
      <c r="L15" t="str">
        <f>"PLC自动;定时器;控制"</f>
        <v>PLC自动;定时器;控制</v>
      </c>
      <c r="M15" t="str">
        <f t="shared" si="29"/>
        <v>书面答辩</v>
      </c>
      <c r="N15" t="str">
        <f t="shared" si="13"/>
        <v>审核通过</v>
      </c>
      <c r="O15" t="str">
        <f t="shared" si="25"/>
        <v>蔡宗朝</v>
      </c>
      <c r="P15" t="str">
        <f t="shared" si="26"/>
        <v>2023-06-30 15:44</v>
      </c>
      <c r="Q15" t="str">
        <f t="shared" ref="Q15:T15" si="31">"通过"</f>
        <v>通过</v>
      </c>
      <c r="R15" t="str">
        <f t="shared" si="31"/>
        <v>通过</v>
      </c>
      <c r="S15" t="str">
        <f t="shared" si="31"/>
        <v>通过</v>
      </c>
      <c r="T15" t="str">
        <f t="shared" si="31"/>
        <v>通过</v>
      </c>
    </row>
    <row r="16" spans="1:20">
      <c r="A16" t="str">
        <f>"易芳梁"</f>
        <v>易芳梁</v>
      </c>
      <c r="B16" t="str">
        <f>"2117111106019"</f>
        <v>2117111106019</v>
      </c>
      <c r="C16" t="str">
        <f t="shared" si="22"/>
        <v>电气21020</v>
      </c>
      <c r="D16" t="str">
        <f t="shared" si="10"/>
        <v>2021</v>
      </c>
      <c r="E16" t="str">
        <f t="shared" si="0"/>
        <v>东莞电研院</v>
      </c>
      <c r="F16" t="str">
        <f t="shared" si="1"/>
        <v>专升本</v>
      </c>
      <c r="G16" t="str">
        <f t="shared" si="23"/>
        <v>电气工程及其自动化</v>
      </c>
      <c r="H16" t="str">
        <f t="shared" si="12"/>
        <v>业余</v>
      </c>
      <c r="I16" t="str">
        <f t="shared" si="24"/>
        <v>蔡宗朝</v>
      </c>
      <c r="J16" t="str">
        <f>"单片机的输液监护器设计"</f>
        <v>单片机的输液监护器设计</v>
      </c>
      <c r="K16" t="str">
        <f>"自动化控制"</f>
        <v>自动化控制</v>
      </c>
      <c r="L16" t="str">
        <f>"输液监控;AT89C51;串行通信"</f>
        <v>输液监控;AT89C51;串行通信</v>
      </c>
      <c r="M16" t="str">
        <f t="shared" si="29"/>
        <v>书面答辩</v>
      </c>
      <c r="N16" t="str">
        <f t="shared" si="13"/>
        <v>审核通过</v>
      </c>
      <c r="O16" t="str">
        <f t="shared" si="25"/>
        <v>蔡宗朝</v>
      </c>
      <c r="P16" t="str">
        <f>"2023-06-29 15:48"</f>
        <v>2023-06-29 15:48</v>
      </c>
      <c r="Q16" t="str">
        <f t="shared" ref="Q16:T16" si="32">"通过"</f>
        <v>通过</v>
      </c>
      <c r="R16" t="str">
        <f t="shared" si="32"/>
        <v>通过</v>
      </c>
      <c r="S16" t="str">
        <f t="shared" si="32"/>
        <v>通过</v>
      </c>
      <c r="T16" t="str">
        <f t="shared" si="32"/>
        <v>通过</v>
      </c>
    </row>
    <row r="17" spans="1:20">
      <c r="A17" t="str">
        <f>"杜淑贤"</f>
        <v>杜淑贤</v>
      </c>
      <c r="B17" t="str">
        <f>"2117111111005"</f>
        <v>2117111111005</v>
      </c>
      <c r="C17" t="str">
        <f>"人力21143"</f>
        <v>人力21143</v>
      </c>
      <c r="D17" t="str">
        <f t="shared" si="10"/>
        <v>2021</v>
      </c>
      <c r="E17" t="str">
        <f t="shared" si="0"/>
        <v>东莞电研院</v>
      </c>
      <c r="F17" t="str">
        <f t="shared" si="1"/>
        <v>专升本</v>
      </c>
      <c r="G17" t="str">
        <f>"人力资源管理"</f>
        <v>人力资源管理</v>
      </c>
      <c r="H17" t="str">
        <f t="shared" si="12"/>
        <v>业余</v>
      </c>
      <c r="I17" t="str">
        <f>"胡腊香"</f>
        <v>胡腊香</v>
      </c>
      <c r="J17" t="str">
        <f>"论企业人力资源管理绩效考核存在的问题及对策研究"</f>
        <v>论企业人力资源管理绩效考核存在的问题及对策研究</v>
      </c>
      <c r="K17" t="str">
        <f>"理论研究;人力资源"</f>
        <v>理论研究;人力资源</v>
      </c>
      <c r="L17" t="str">
        <f>"人力资源;绩效考核;员工绩效"</f>
        <v>人力资源;绩效考核;员工绩效</v>
      </c>
      <c r="M17" t="str">
        <f t="shared" si="29"/>
        <v>书面答辩</v>
      </c>
      <c r="N17" t="str">
        <f t="shared" si="13"/>
        <v>审核通过</v>
      </c>
      <c r="O17" t="str">
        <f>"胡腊香"</f>
        <v>胡腊香</v>
      </c>
      <c r="P17" t="str">
        <f>"2023-06-27 16:18"</f>
        <v>2023-06-27 16:18</v>
      </c>
      <c r="Q17" t="str">
        <f t="shared" ref="Q17:T17" si="33">"通过"</f>
        <v>通过</v>
      </c>
      <c r="R17" t="str">
        <f t="shared" si="33"/>
        <v>通过</v>
      </c>
      <c r="S17" t="str">
        <f t="shared" si="33"/>
        <v>通过</v>
      </c>
      <c r="T17" t="str">
        <f t="shared" si="33"/>
        <v>通过</v>
      </c>
    </row>
    <row r="18" spans="1:20">
      <c r="A18" t="str">
        <f>"李永胜"</f>
        <v>李永胜</v>
      </c>
      <c r="B18" t="str">
        <f>"2117111111013"</f>
        <v>2117111111013</v>
      </c>
      <c r="C18" t="str">
        <f>"人力21143"</f>
        <v>人力21143</v>
      </c>
      <c r="D18" t="str">
        <f t="shared" si="10"/>
        <v>2021</v>
      </c>
      <c r="E18" t="str">
        <f t="shared" si="0"/>
        <v>东莞电研院</v>
      </c>
      <c r="F18" t="str">
        <f t="shared" si="1"/>
        <v>专升本</v>
      </c>
      <c r="G18" t="str">
        <f>"人力资源管理"</f>
        <v>人力资源管理</v>
      </c>
      <c r="H18" t="str">
        <f t="shared" si="12"/>
        <v>业余</v>
      </c>
      <c r="I18" t="str">
        <f>"胡腊香"</f>
        <v>胡腊香</v>
      </c>
      <c r="J18" t="str">
        <f>"招聘与公司配置"</f>
        <v>招聘与公司配置</v>
      </c>
      <c r="K18" t="str">
        <f>"人力资源招聘理论"</f>
        <v>人力资源招聘理论</v>
      </c>
      <c r="L18" t="str">
        <f>"招聘;配置;人力资源"</f>
        <v>招聘;配置;人力资源</v>
      </c>
      <c r="M18" t="str">
        <f t="shared" si="29"/>
        <v>书面答辩</v>
      </c>
      <c r="N18" t="str">
        <f t="shared" si="13"/>
        <v>审核通过</v>
      </c>
      <c r="O18" t="str">
        <f>"胡腊香"</f>
        <v>胡腊香</v>
      </c>
      <c r="P18" t="str">
        <f>"2023-06-30 14:17"</f>
        <v>2023-06-30 14:17</v>
      </c>
      <c r="Q18" t="str">
        <f t="shared" ref="Q18:T18" si="34">"通过"</f>
        <v>通过</v>
      </c>
      <c r="R18" t="str">
        <f t="shared" si="34"/>
        <v>通过</v>
      </c>
      <c r="S18" t="str">
        <f t="shared" si="34"/>
        <v>通过</v>
      </c>
      <c r="T18" t="str">
        <f t="shared" si="34"/>
        <v>通过</v>
      </c>
    </row>
    <row r="19" spans="1:20">
      <c r="A19" t="str">
        <f>"钟嘉瑜"</f>
        <v>钟嘉瑜</v>
      </c>
      <c r="B19" t="str">
        <f>"2117111111030"</f>
        <v>2117111111030</v>
      </c>
      <c r="C19" t="str">
        <f>"人力21143"</f>
        <v>人力21143</v>
      </c>
      <c r="D19" t="str">
        <f t="shared" si="10"/>
        <v>2021</v>
      </c>
      <c r="E19" t="str">
        <f t="shared" si="0"/>
        <v>东莞电研院</v>
      </c>
      <c r="F19" t="str">
        <f t="shared" si="1"/>
        <v>专升本</v>
      </c>
      <c r="G19" t="str">
        <f>"人力资源管理"</f>
        <v>人力资源管理</v>
      </c>
      <c r="H19" t="str">
        <f t="shared" si="12"/>
        <v>业余</v>
      </c>
      <c r="I19" t="str">
        <f>"胡腊香"</f>
        <v>胡腊香</v>
      </c>
      <c r="J19" t="str">
        <f>"民营企业人力资源管理存在的问题及对策"</f>
        <v>民营企业人力资源管理存在的问题及对策</v>
      </c>
      <c r="K19" t="str">
        <f>"理论研究"</f>
        <v>理论研究</v>
      </c>
      <c r="L19" t="str">
        <f>"理论;理论研究;人力资源管理"</f>
        <v>理论;理论研究;人力资源管理</v>
      </c>
      <c r="M19" t="str">
        <f t="shared" si="29"/>
        <v>书面答辩</v>
      </c>
      <c r="N19" t="str">
        <f t="shared" si="13"/>
        <v>审核通过</v>
      </c>
      <c r="O19" t="str">
        <f>"胡腊香"</f>
        <v>胡腊香</v>
      </c>
      <c r="P19" t="str">
        <f>"2023-06-29 16:50"</f>
        <v>2023-06-29 16:50</v>
      </c>
      <c r="Q19" t="str">
        <f>"通过"</f>
        <v>通过</v>
      </c>
      <c r="R19" t="str">
        <f t="shared" ref="R19:T19" si="35">"未上传"</f>
        <v>未上传</v>
      </c>
      <c r="S19" t="str">
        <f t="shared" si="35"/>
        <v>未上传</v>
      </c>
      <c r="T19" t="str">
        <f t="shared" si="35"/>
        <v>未上传</v>
      </c>
    </row>
    <row r="20" spans="1:20">
      <c r="A20" t="str">
        <f>"曾伟杰"</f>
        <v>曾伟杰</v>
      </c>
      <c r="B20" t="str">
        <f>"2117111115001"</f>
        <v>2117111115001</v>
      </c>
      <c r="C20" t="str">
        <f>"视觉传达21156"</f>
        <v>视觉传达21156</v>
      </c>
      <c r="D20" t="str">
        <f t="shared" si="10"/>
        <v>2021</v>
      </c>
      <c r="E20" t="str">
        <f t="shared" si="0"/>
        <v>东莞电研院</v>
      </c>
      <c r="F20" t="str">
        <f t="shared" si="1"/>
        <v>专升本</v>
      </c>
      <c r="G20" t="str">
        <f>"视觉传达设计"</f>
        <v>视觉传达设计</v>
      </c>
      <c r="H20" t="str">
        <f t="shared" si="12"/>
        <v>业余</v>
      </c>
      <c r="I20" t="str">
        <f>"庄伟"</f>
        <v>庄伟</v>
      </c>
      <c r="J20" t="str">
        <f>"网页设计之视觉传达研究"</f>
        <v>网页设计之视觉传达研究</v>
      </c>
      <c r="K20" t="str">
        <f>"网页设计"</f>
        <v>网页设计</v>
      </c>
      <c r="L20" t="str">
        <f>"设计;视觉;传达"</f>
        <v>设计;视觉;传达</v>
      </c>
      <c r="M20" t="str">
        <f t="shared" si="29"/>
        <v>书面答辩</v>
      </c>
      <c r="N20" t="str">
        <f t="shared" si="13"/>
        <v>审核通过</v>
      </c>
      <c r="O20" t="str">
        <f>"庄伟"</f>
        <v>庄伟</v>
      </c>
      <c r="P20" t="str">
        <f>"2023-06-29 15:46"</f>
        <v>2023-06-29 15:46</v>
      </c>
      <c r="Q20" t="str">
        <f t="shared" ref="Q20:T20" si="36">"通过"</f>
        <v>通过</v>
      </c>
      <c r="R20" t="str">
        <f t="shared" si="36"/>
        <v>通过</v>
      </c>
      <c r="S20" t="str">
        <f t="shared" si="36"/>
        <v>通过</v>
      </c>
      <c r="T20" t="str">
        <f t="shared" si="36"/>
        <v>通过</v>
      </c>
    </row>
    <row r="21" spans="1:20">
      <c r="A21" t="str">
        <f>"毛泽贤"</f>
        <v>毛泽贤</v>
      </c>
      <c r="B21" t="str">
        <f>"2117111115008"</f>
        <v>2117111115008</v>
      </c>
      <c r="C21" t="str">
        <f>"视觉传达21156"</f>
        <v>视觉传达21156</v>
      </c>
      <c r="D21" t="str">
        <f t="shared" si="10"/>
        <v>2021</v>
      </c>
      <c r="E21" t="str">
        <f t="shared" si="0"/>
        <v>东莞电研院</v>
      </c>
      <c r="F21" t="str">
        <f t="shared" si="1"/>
        <v>专升本</v>
      </c>
      <c r="G21" t="str">
        <f>"视觉传达设计"</f>
        <v>视觉传达设计</v>
      </c>
      <c r="H21" t="str">
        <f t="shared" si="12"/>
        <v>业余</v>
      </c>
      <c r="I21" t="str">
        <f>"庄伟"</f>
        <v>庄伟</v>
      </c>
      <c r="J21" t="str">
        <f>"基于用户体验的教育类app界面设计研究以英语流利说app为例"</f>
        <v>基于用户体验的教育类app界面设计研究以英语流利说app为例</v>
      </c>
      <c r="K21" t="str">
        <f>"用户体验"</f>
        <v>用户体验</v>
      </c>
      <c r="L21" t="str">
        <f>"教育类app;界面设计;英语流利说app"</f>
        <v>教育类app;界面设计;英语流利说app</v>
      </c>
      <c r="M21" t="str">
        <f t="shared" si="29"/>
        <v>书面答辩</v>
      </c>
      <c r="N21" t="str">
        <f t="shared" si="13"/>
        <v>审核通过</v>
      </c>
      <c r="O21" t="str">
        <f>"庄伟"</f>
        <v>庄伟</v>
      </c>
      <c r="P21" t="str">
        <f>"2023-06-30 10:17"</f>
        <v>2023-06-30 10:17</v>
      </c>
      <c r="Q21" t="str">
        <f t="shared" ref="Q21:T21" si="37">"通过"</f>
        <v>通过</v>
      </c>
      <c r="R21" t="str">
        <f t="shared" si="37"/>
        <v>通过</v>
      </c>
      <c r="S21" t="str">
        <f t="shared" si="37"/>
        <v>通过</v>
      </c>
      <c r="T21" t="str">
        <f t="shared" si="37"/>
        <v>通过</v>
      </c>
    </row>
    <row r="22" spans="1:20">
      <c r="A22" t="str">
        <f>"李锦源"</f>
        <v>李锦源</v>
      </c>
      <c r="B22" t="str">
        <f>"2117112118012"</f>
        <v>2117112118012</v>
      </c>
      <c r="C22" t="str">
        <f>"行管21221"</f>
        <v>行管21221</v>
      </c>
      <c r="D22" t="str">
        <f t="shared" si="10"/>
        <v>2021</v>
      </c>
      <c r="E22" t="str">
        <f t="shared" si="0"/>
        <v>东莞电研院</v>
      </c>
      <c r="F22" t="str">
        <f t="shared" si="1"/>
        <v>专升本</v>
      </c>
      <c r="G22" t="str">
        <f>"行政管理"</f>
        <v>行政管理</v>
      </c>
      <c r="H22" t="str">
        <f>"函授"</f>
        <v>函授</v>
      </c>
      <c r="I22" t="str">
        <f>"刘文兰"</f>
        <v>刘文兰</v>
      </c>
      <c r="J22" t="str">
        <f>"人力资源管理及企业核心竞争力"</f>
        <v>人力资源管理及企业核心竞争力</v>
      </c>
      <c r="K22" t="str">
        <f>"企业核心竞争力"</f>
        <v>企业核心竞争力</v>
      </c>
      <c r="L22" t="str">
        <f>"企业;人力资源;管理"</f>
        <v>企业;人力资源;管理</v>
      </c>
      <c r="M22" t="str">
        <f t="shared" si="29"/>
        <v>书面答辩</v>
      </c>
      <c r="N22" t="str">
        <f t="shared" si="13"/>
        <v>审核通过</v>
      </c>
      <c r="O22" t="str">
        <f>"刘文兰"</f>
        <v>刘文兰</v>
      </c>
      <c r="P22" t="str">
        <f>"2023-06-30 10:38"</f>
        <v>2023-06-30 10:38</v>
      </c>
      <c r="Q22" t="str">
        <f t="shared" ref="Q22:T22" si="38">"通过"</f>
        <v>通过</v>
      </c>
      <c r="R22" t="str">
        <f t="shared" si="38"/>
        <v>通过</v>
      </c>
      <c r="S22" t="str">
        <f t="shared" si="38"/>
        <v>通过</v>
      </c>
      <c r="T22" t="str">
        <f t="shared" si="38"/>
        <v>通过</v>
      </c>
    </row>
    <row r="23" spans="1:20">
      <c r="A23" t="str">
        <f>"陈剑飞"</f>
        <v>陈剑飞</v>
      </c>
      <c r="B23" t="str">
        <f>"2117112119003"</f>
        <v>2117112119003</v>
      </c>
      <c r="C23" t="str">
        <f>"计机科技21239"</f>
        <v>计机科技21239</v>
      </c>
      <c r="D23" t="str">
        <f t="shared" si="10"/>
        <v>2021</v>
      </c>
      <c r="E23" t="str">
        <f t="shared" si="0"/>
        <v>东莞电研院</v>
      </c>
      <c r="F23" t="str">
        <f t="shared" si="1"/>
        <v>专升本</v>
      </c>
      <c r="G23" t="str">
        <f>"计算机科学与技术"</f>
        <v>计算机科学与技术</v>
      </c>
      <c r="H23" t="str">
        <f>"函授"</f>
        <v>函授</v>
      </c>
      <c r="I23" t="str">
        <f>"罗静"</f>
        <v>罗静</v>
      </c>
      <c r="J23" t="str">
        <f>"职工信息系统设计与实现"</f>
        <v>职工信息系统设计与实现</v>
      </c>
      <c r="K23" t="str">
        <f>"人工智能"</f>
        <v>人工智能</v>
      </c>
      <c r="L23" t="str">
        <f>"AI;人工智能;C语言"</f>
        <v>AI;人工智能;C语言</v>
      </c>
      <c r="M23" t="str">
        <f t="shared" si="29"/>
        <v>书面答辩</v>
      </c>
      <c r="N23" t="str">
        <f t="shared" si="13"/>
        <v>审核通过</v>
      </c>
      <c r="O23" t="str">
        <f>"罗静"</f>
        <v>罗静</v>
      </c>
      <c r="P23" t="str">
        <f>"2023-06-30 22:58"</f>
        <v>2023-06-30 22:58</v>
      </c>
      <c r="Q23" t="str">
        <f>"通过"</f>
        <v>通过</v>
      </c>
      <c r="R23" t="str">
        <f>"通过"</f>
        <v>通过</v>
      </c>
      <c r="S23" t="str">
        <f>"未上传"</f>
        <v>未上传</v>
      </c>
      <c r="T23" t="str">
        <f>"未上传"</f>
        <v>未上传</v>
      </c>
    </row>
    <row r="24" spans="1:20">
      <c r="A24" t="str">
        <f>"李琳枫"</f>
        <v>李琳枫</v>
      </c>
      <c r="B24" t="str">
        <f>"2117112119010"</f>
        <v>2117112119010</v>
      </c>
      <c r="C24" t="str">
        <f>"计机科技21239"</f>
        <v>计机科技21239</v>
      </c>
      <c r="D24" t="str">
        <f t="shared" si="10"/>
        <v>2021</v>
      </c>
      <c r="E24" t="str">
        <f t="shared" si="0"/>
        <v>东莞电研院</v>
      </c>
      <c r="F24" t="str">
        <f t="shared" si="1"/>
        <v>专升本</v>
      </c>
      <c r="G24" t="str">
        <f>"计算机科学与技术"</f>
        <v>计算机科学与技术</v>
      </c>
      <c r="H24" t="str">
        <f>"函授"</f>
        <v>函授</v>
      </c>
      <c r="I24" t="str">
        <f>"罗静"</f>
        <v>罗静</v>
      </c>
      <c r="J24" t="str">
        <f>"关于工资管理系统的研究"</f>
        <v>关于工资管理系统的研究</v>
      </c>
      <c r="K24" t="str">
        <f>"工资管理系统"</f>
        <v>工资管理系统</v>
      </c>
      <c r="L24" t="str">
        <f>"工资管理;管理系统;系统研究"</f>
        <v>工资管理;管理系统;系统研究</v>
      </c>
      <c r="M24" t="str">
        <f t="shared" si="29"/>
        <v>书面答辩</v>
      </c>
      <c r="N24" t="str">
        <f t="shared" si="13"/>
        <v>审核通过</v>
      </c>
      <c r="O24" t="str">
        <f>"罗静"</f>
        <v>罗静</v>
      </c>
      <c r="P24" t="str">
        <f>"2023-06-30 16:52"</f>
        <v>2023-06-30 16:52</v>
      </c>
      <c r="Q24" t="str">
        <f t="shared" ref="Q24:T24" si="39">"通过"</f>
        <v>通过</v>
      </c>
      <c r="R24" t="str">
        <f t="shared" si="39"/>
        <v>通过</v>
      </c>
      <c r="S24" t="str">
        <f t="shared" si="39"/>
        <v>通过</v>
      </c>
      <c r="T24" t="str">
        <f t="shared" si="39"/>
        <v>通过</v>
      </c>
    </row>
    <row r="25" spans="1:20">
      <c r="A25" t="str">
        <f>"张标"</f>
        <v>张标</v>
      </c>
      <c r="B25" t="str">
        <f>"2117112119016"</f>
        <v>2117112119016</v>
      </c>
      <c r="C25" t="str">
        <f>"计机科技21239"</f>
        <v>计机科技21239</v>
      </c>
      <c r="D25" t="str">
        <f t="shared" si="10"/>
        <v>2021</v>
      </c>
      <c r="E25" t="str">
        <f t="shared" si="0"/>
        <v>东莞电研院</v>
      </c>
      <c r="F25" t="str">
        <f t="shared" si="1"/>
        <v>专升本</v>
      </c>
      <c r="G25" t="str">
        <f>"计算机科学与技术"</f>
        <v>计算机科学与技术</v>
      </c>
      <c r="H25" t="str">
        <f>"函授"</f>
        <v>函授</v>
      </c>
      <c r="I25" t="str">
        <f>"罗静"</f>
        <v>罗静</v>
      </c>
      <c r="J25" t="str">
        <f>"指纹考勤系统设计与实现"</f>
        <v>指纹考勤系统设计与实现</v>
      </c>
      <c r="K25" t="str">
        <f>"考勤系统"</f>
        <v>考勤系统</v>
      </c>
      <c r="L25" t="str">
        <f>"考勤系统;指纹;系统设计开发"</f>
        <v>考勤系统;指纹;系统设计开发</v>
      </c>
      <c r="M25" t="str">
        <f t="shared" si="29"/>
        <v>书面答辩</v>
      </c>
      <c r="N25" t="str">
        <f t="shared" si="13"/>
        <v>审核通过</v>
      </c>
      <c r="O25" t="str">
        <f>"罗静"</f>
        <v>罗静</v>
      </c>
      <c r="P25" t="str">
        <f>"2023-06-30 16:52"</f>
        <v>2023-06-30 16:52</v>
      </c>
      <c r="Q25" t="str">
        <f t="shared" ref="Q25:T25" si="40">"通过"</f>
        <v>通过</v>
      </c>
      <c r="R25" t="str">
        <f t="shared" si="40"/>
        <v>通过</v>
      </c>
      <c r="S25" t="str">
        <f t="shared" si="40"/>
        <v>通过</v>
      </c>
      <c r="T25" t="str">
        <f t="shared" si="40"/>
        <v>通过</v>
      </c>
    </row>
    <row r="26" spans="1:20">
      <c r="A26" t="str">
        <f>"张永达"</f>
        <v>张永达</v>
      </c>
      <c r="B26" t="str">
        <f>"2117112119017"</f>
        <v>2117112119017</v>
      </c>
      <c r="C26" t="str">
        <f>"计机科技21239"</f>
        <v>计机科技21239</v>
      </c>
      <c r="D26" t="str">
        <f t="shared" si="10"/>
        <v>2021</v>
      </c>
      <c r="E26" t="str">
        <f t="shared" si="0"/>
        <v>东莞电研院</v>
      </c>
      <c r="F26" t="str">
        <f t="shared" si="1"/>
        <v>专升本</v>
      </c>
      <c r="G26" t="str">
        <f>"计算机科学与技术"</f>
        <v>计算机科学与技术</v>
      </c>
      <c r="H26" t="str">
        <f>"函授"</f>
        <v>函授</v>
      </c>
      <c r="I26" t="str">
        <f>"罗静"</f>
        <v>罗静</v>
      </c>
      <c r="J26" t="str">
        <f>"基于Android的智能家居监控系统设计与实现"</f>
        <v>基于Android的智能家居监控系统设计与实现</v>
      </c>
      <c r="K26" t="str">
        <f>"计算机方向"</f>
        <v>计算机方向</v>
      </c>
      <c r="L26" t="str">
        <f>"智能家居监控系统设计;智能家居监控系统实现;计算机"</f>
        <v>智能家居监控系统设计;智能家居监控系统实现;计算机</v>
      </c>
      <c r="M26" t="str">
        <f t="shared" si="29"/>
        <v>书面答辩</v>
      </c>
      <c r="N26" t="str">
        <f t="shared" si="13"/>
        <v>审核通过</v>
      </c>
      <c r="O26" t="str">
        <f>"罗静"</f>
        <v>罗静</v>
      </c>
      <c r="P26" t="str">
        <f>"2023-06-28 08:36"</f>
        <v>2023-06-28 08:36</v>
      </c>
      <c r="Q26" t="str">
        <f t="shared" ref="Q26:T26" si="41">"通过"</f>
        <v>通过</v>
      </c>
      <c r="R26" t="str">
        <f t="shared" si="41"/>
        <v>通过</v>
      </c>
      <c r="S26" t="str">
        <f t="shared" si="41"/>
        <v>通过</v>
      </c>
      <c r="T26" t="str">
        <f t="shared" si="41"/>
        <v>通过</v>
      </c>
    </row>
    <row r="27" spans="1:20">
      <c r="A27" t="str">
        <f>"沈阿强"</f>
        <v>沈阿强</v>
      </c>
      <c r="B27" t="str">
        <f>"2117211103007"</f>
        <v>2117211103007</v>
      </c>
      <c r="C27" t="str">
        <f>"法学21068"</f>
        <v>法学21068</v>
      </c>
      <c r="D27" t="str">
        <f t="shared" si="10"/>
        <v>2021</v>
      </c>
      <c r="E27" t="str">
        <f t="shared" si="0"/>
        <v>东莞电研院</v>
      </c>
      <c r="F27" t="str">
        <f t="shared" si="1"/>
        <v>专升本</v>
      </c>
      <c r="G27" t="str">
        <f>"法学"</f>
        <v>法学</v>
      </c>
      <c r="H27" t="str">
        <f t="shared" ref="H27:H36" si="42">"业余"</f>
        <v>业余</v>
      </c>
      <c r="I27" t="str">
        <f>"孟令红"</f>
        <v>孟令红</v>
      </c>
      <c r="J27" t="str">
        <f>"网络游戏虚拟财产的法律保护研究"</f>
        <v>网络游戏虚拟财产的法律保护研究</v>
      </c>
      <c r="K27" t="str">
        <f>"网络游戏虚拟财产;法律保护"</f>
        <v>网络游戏虚拟财产;法律保护</v>
      </c>
      <c r="L27" t="str">
        <f>"网络虚拟财产;法律性质;价值评估"</f>
        <v>网络虚拟财产;法律性质;价值评估</v>
      </c>
      <c r="M27" t="str">
        <f t="shared" si="29"/>
        <v>书面答辩</v>
      </c>
      <c r="N27" t="str">
        <f t="shared" si="13"/>
        <v>审核通过</v>
      </c>
      <c r="O27" t="str">
        <f>"孟令红"</f>
        <v>孟令红</v>
      </c>
      <c r="P27" t="str">
        <f>"2023-06-28 11:02"</f>
        <v>2023-06-28 11:02</v>
      </c>
      <c r="Q27" t="str">
        <f t="shared" ref="Q27:T27" si="43">"通过"</f>
        <v>通过</v>
      </c>
      <c r="R27" t="str">
        <f t="shared" si="43"/>
        <v>通过</v>
      </c>
      <c r="S27" t="str">
        <f t="shared" si="43"/>
        <v>通过</v>
      </c>
      <c r="T27" t="str">
        <f t="shared" si="43"/>
        <v>通过</v>
      </c>
    </row>
    <row r="28" spans="1:20">
      <c r="A28" t="str">
        <f>"吴忠雅"</f>
        <v>吴忠雅</v>
      </c>
      <c r="B28" t="str">
        <f>"2117211103008"</f>
        <v>2117211103008</v>
      </c>
      <c r="C28" t="str">
        <f>"法学21068"</f>
        <v>法学21068</v>
      </c>
      <c r="D28" t="str">
        <f t="shared" si="10"/>
        <v>2021</v>
      </c>
      <c r="E28" t="str">
        <f t="shared" si="0"/>
        <v>东莞电研院</v>
      </c>
      <c r="F28" t="str">
        <f t="shared" si="1"/>
        <v>专升本</v>
      </c>
      <c r="G28" t="str">
        <f>"法学"</f>
        <v>法学</v>
      </c>
      <c r="H28" t="str">
        <f t="shared" si="42"/>
        <v>业余</v>
      </c>
      <c r="I28" t="str">
        <f>"孟令红"</f>
        <v>孟令红</v>
      </c>
      <c r="J28" t="str">
        <f>"论行政执法行为的检查监督"</f>
        <v>论行政执法行为的检查监督</v>
      </c>
      <c r="K28" t="str">
        <f>"行政执法行为;争议性问题"</f>
        <v>行政执法行为;争议性问题</v>
      </c>
      <c r="L28" t="str">
        <f>"行政执法行为;检查监督;立法建议;监理机制"</f>
        <v>行政执法行为;检查监督;立法建议;监理机制</v>
      </c>
      <c r="M28" t="str">
        <f t="shared" si="29"/>
        <v>书面答辩</v>
      </c>
      <c r="N28" t="str">
        <f t="shared" si="13"/>
        <v>审核通过</v>
      </c>
      <c r="O28" t="str">
        <f>"孟令红"</f>
        <v>孟令红</v>
      </c>
      <c r="P28" t="str">
        <f>"2023-06-30 18:22"</f>
        <v>2023-06-30 18:22</v>
      </c>
      <c r="Q28" t="str">
        <f t="shared" ref="Q28:T28" si="44">"通过"</f>
        <v>通过</v>
      </c>
      <c r="R28" t="str">
        <f t="shared" si="44"/>
        <v>通过</v>
      </c>
      <c r="S28" t="str">
        <f t="shared" si="44"/>
        <v>通过</v>
      </c>
      <c r="T28" t="str">
        <f t="shared" si="44"/>
        <v>通过</v>
      </c>
    </row>
    <row r="29" spans="1:20">
      <c r="A29" t="str">
        <f>"李丽珍"</f>
        <v>李丽珍</v>
      </c>
      <c r="B29" t="str">
        <f>"2117211104005"</f>
        <v>2117211104005</v>
      </c>
      <c r="C29" t="str">
        <f>"英语21181"</f>
        <v>英语21181</v>
      </c>
      <c r="D29" t="str">
        <f t="shared" si="10"/>
        <v>2021</v>
      </c>
      <c r="E29" t="str">
        <f t="shared" si="0"/>
        <v>东莞电研院</v>
      </c>
      <c r="F29" t="str">
        <f t="shared" si="1"/>
        <v>专升本</v>
      </c>
      <c r="G29" t="str">
        <f>"英语"</f>
        <v>英语</v>
      </c>
      <c r="H29" t="str">
        <f t="shared" si="42"/>
        <v>业余</v>
      </c>
      <c r="I29" t="str">
        <f>"陈丽兰"</f>
        <v>陈丽兰</v>
      </c>
      <c r="J29" t="str">
        <f>"Textual Features of Business English Letters"</f>
        <v>Textual Features of Business English Letters</v>
      </c>
      <c r="K29" t="str">
        <f>"信函的文本特征"</f>
        <v>信函的文本特征</v>
      </c>
      <c r="L29" t="str">
        <f>"简洁;礼貌;信息准确;完整"</f>
        <v>简洁;礼貌;信息准确;完整</v>
      </c>
      <c r="M29" t="str">
        <f t="shared" si="29"/>
        <v>书面答辩</v>
      </c>
      <c r="N29" t="str">
        <f t="shared" si="13"/>
        <v>审核通过</v>
      </c>
      <c r="O29" t="str">
        <f>"陈丽兰"</f>
        <v>陈丽兰</v>
      </c>
      <c r="P29" t="str">
        <f>"2023-06-30 11:39"</f>
        <v>2023-06-30 11:39</v>
      </c>
      <c r="Q29" t="str">
        <f t="shared" ref="Q29:T29" si="45">"通过"</f>
        <v>通过</v>
      </c>
      <c r="R29" t="str">
        <f t="shared" si="45"/>
        <v>通过</v>
      </c>
      <c r="S29" t="str">
        <f t="shared" si="45"/>
        <v>通过</v>
      </c>
      <c r="T29" t="str">
        <f t="shared" si="45"/>
        <v>通过</v>
      </c>
    </row>
    <row r="30" spans="1:20">
      <c r="A30" t="str">
        <f>"王艺萍"</f>
        <v>王艺萍</v>
      </c>
      <c r="B30" t="str">
        <f>"2117211104009"</f>
        <v>2117211104009</v>
      </c>
      <c r="C30" t="str">
        <f>"英语21181"</f>
        <v>英语21181</v>
      </c>
      <c r="D30" t="str">
        <f t="shared" si="10"/>
        <v>2021</v>
      </c>
      <c r="E30" t="str">
        <f t="shared" si="0"/>
        <v>东莞电研院</v>
      </c>
      <c r="F30" t="str">
        <f t="shared" si="1"/>
        <v>专升本</v>
      </c>
      <c r="G30" t="str">
        <f>"英语"</f>
        <v>英语</v>
      </c>
      <c r="H30" t="str">
        <f t="shared" si="42"/>
        <v>业余</v>
      </c>
      <c r="I30" t="str">
        <f>"陈丽兰"</f>
        <v>陈丽兰</v>
      </c>
      <c r="J30" t="str">
        <f>"Common English hearing disorders in middle school students and their coping strategies"</f>
        <v>Common English hearing disorders in middle school students and their coping strategies</v>
      </c>
      <c r="K30" t="str">
        <f>"英语听力常见障碍"</f>
        <v>英语听力常见障碍</v>
      </c>
      <c r="L30" t="str">
        <f>"中学生;英语听力;常见障碍;应付策略"</f>
        <v>中学生;英语听力;常见障碍;应付策略</v>
      </c>
      <c r="M30" t="str">
        <f t="shared" si="29"/>
        <v>书面答辩</v>
      </c>
      <c r="N30" t="str">
        <f t="shared" si="13"/>
        <v>审核通过</v>
      </c>
      <c r="O30" t="str">
        <f>"陈丽兰"</f>
        <v>陈丽兰</v>
      </c>
      <c r="P30" t="str">
        <f>"2023-06-30 21:17"</f>
        <v>2023-06-30 21:17</v>
      </c>
      <c r="Q30" t="str">
        <f t="shared" ref="Q30:T30" si="46">"通过"</f>
        <v>通过</v>
      </c>
      <c r="R30" t="str">
        <f t="shared" si="46"/>
        <v>通过</v>
      </c>
      <c r="S30" t="str">
        <f t="shared" si="46"/>
        <v>通过</v>
      </c>
      <c r="T30" t="str">
        <f t="shared" si="46"/>
        <v>通过</v>
      </c>
    </row>
    <row r="31" spans="1:20">
      <c r="A31" t="str">
        <f>"梁小丽"</f>
        <v>梁小丽</v>
      </c>
      <c r="B31" t="str">
        <f>"2117211106006"</f>
        <v>2117211106006</v>
      </c>
      <c r="C31" t="str">
        <f>"电气21021"</f>
        <v>电气21021</v>
      </c>
      <c r="D31" t="str">
        <f t="shared" si="10"/>
        <v>2021</v>
      </c>
      <c r="E31" t="str">
        <f t="shared" si="0"/>
        <v>东莞电研院</v>
      </c>
      <c r="F31" t="str">
        <f t="shared" si="1"/>
        <v>专升本</v>
      </c>
      <c r="G31" t="str">
        <f>"电气工程及其自动化"</f>
        <v>电气工程及其自动化</v>
      </c>
      <c r="H31" t="str">
        <f t="shared" si="42"/>
        <v>业余</v>
      </c>
      <c r="I31" t="str">
        <f>"蔡宗朝"</f>
        <v>蔡宗朝</v>
      </c>
      <c r="J31" t="str">
        <f>"智能化技术在建筑电气工程中应用"</f>
        <v>智能化技术在建筑电气工程中应用</v>
      </c>
      <c r="K31" t="str">
        <f>"智能化技术建筑"</f>
        <v>智能化技术建筑</v>
      </c>
      <c r="L31" t="str">
        <f>"智能化技术;建筑工程;智能化应用"</f>
        <v>智能化技术;建筑工程;智能化应用</v>
      </c>
      <c r="M31" t="str">
        <f t="shared" si="29"/>
        <v>书面答辩</v>
      </c>
      <c r="N31" t="str">
        <f t="shared" ref="N31:N34" si="47">"审核通过"</f>
        <v>审核通过</v>
      </c>
      <c r="O31" t="str">
        <f>"蔡宗朝"</f>
        <v>蔡宗朝</v>
      </c>
      <c r="P31" t="str">
        <f>"2023-07-01 18:10"</f>
        <v>2023-07-01 18:10</v>
      </c>
      <c r="Q31" t="str">
        <f>"通过"</f>
        <v>通过</v>
      </c>
      <c r="R31" t="str">
        <f t="shared" ref="R31:T31" si="48">"未上传"</f>
        <v>未上传</v>
      </c>
      <c r="S31" t="str">
        <f t="shared" si="48"/>
        <v>未上传</v>
      </c>
      <c r="T31" t="str">
        <f t="shared" si="48"/>
        <v>未上传</v>
      </c>
    </row>
    <row r="32" spans="1:20">
      <c r="A32" t="str">
        <f>"冯子晴"</f>
        <v>冯子晴</v>
      </c>
      <c r="B32" t="str">
        <f>"2117211111002"</f>
        <v>2117211111002</v>
      </c>
      <c r="C32" t="str">
        <f>"人力21144"</f>
        <v>人力21144</v>
      </c>
      <c r="D32" t="str">
        <f t="shared" si="10"/>
        <v>2021</v>
      </c>
      <c r="E32" t="str">
        <f t="shared" si="0"/>
        <v>东莞电研院</v>
      </c>
      <c r="F32" t="str">
        <f t="shared" si="1"/>
        <v>专升本</v>
      </c>
      <c r="G32" t="str">
        <f>"人力资源管理"</f>
        <v>人力资源管理</v>
      </c>
      <c r="H32" t="str">
        <f t="shared" si="42"/>
        <v>业余</v>
      </c>
      <c r="I32" t="str">
        <f>"胡腊香"</f>
        <v>胡腊香</v>
      </c>
      <c r="J32" t="str">
        <f>"论行政管理人员的道德素质养成"</f>
        <v>论行政管理人员的道德素质养成</v>
      </c>
      <c r="K32" t="str">
        <f>"管理人员道德素质"</f>
        <v>管理人员道德素质</v>
      </c>
      <c r="L32" t="str">
        <f>"行政管理;公共权力;行政道德"</f>
        <v>行政管理;公共权力;行政道德</v>
      </c>
      <c r="M32" t="str">
        <f>"现场答辩"</f>
        <v>现场答辩</v>
      </c>
      <c r="N32" t="str">
        <f t="shared" si="47"/>
        <v>审核通过</v>
      </c>
      <c r="O32" t="str">
        <f t="shared" ref="O32:O35" si="49">"胡腊香"</f>
        <v>胡腊香</v>
      </c>
      <c r="P32" t="str">
        <f>"2023-06-27 16:36"</f>
        <v>2023-06-27 16:36</v>
      </c>
      <c r="Q32" t="str">
        <f t="shared" ref="Q32:T32" si="50">"通过"</f>
        <v>通过</v>
      </c>
      <c r="R32" t="str">
        <f t="shared" si="50"/>
        <v>通过</v>
      </c>
      <c r="S32" t="str">
        <f t="shared" si="50"/>
        <v>通过</v>
      </c>
      <c r="T32" t="str">
        <f t="shared" si="50"/>
        <v>通过</v>
      </c>
    </row>
    <row r="33" spans="1:20">
      <c r="A33" t="str">
        <f>"李俊杰"</f>
        <v>李俊杰</v>
      </c>
      <c r="B33" t="str">
        <f>"2117211111004"</f>
        <v>2117211111004</v>
      </c>
      <c r="C33" t="str">
        <f>"人力21144"</f>
        <v>人力21144</v>
      </c>
      <c r="D33" t="str">
        <f t="shared" si="10"/>
        <v>2021</v>
      </c>
      <c r="E33" t="str">
        <f t="shared" si="0"/>
        <v>东莞电研院</v>
      </c>
      <c r="F33" t="str">
        <f t="shared" si="1"/>
        <v>专升本</v>
      </c>
      <c r="G33" t="str">
        <f>"人力资源管理"</f>
        <v>人力资源管理</v>
      </c>
      <c r="H33" t="str">
        <f t="shared" si="42"/>
        <v>业余</v>
      </c>
      <c r="I33" t="str">
        <f>"胡腊香"</f>
        <v>胡腊香</v>
      </c>
      <c r="J33" t="str">
        <f>"论基层人力资源的管理作用"</f>
        <v>论基层人力资源的管理作用</v>
      </c>
      <c r="K33" t="str">
        <f>"人力资源管理"</f>
        <v>人力资源管理</v>
      </c>
      <c r="L33" t="str">
        <f>"基层;人才;管理;管理作用;措施"</f>
        <v>基层;人才;管理;管理作用;措施</v>
      </c>
      <c r="M33" t="str">
        <f>"书面答辩"</f>
        <v>书面答辩</v>
      </c>
      <c r="N33" t="str">
        <f t="shared" si="47"/>
        <v>审核通过</v>
      </c>
      <c r="O33" t="str">
        <f t="shared" si="49"/>
        <v>胡腊香</v>
      </c>
      <c r="P33" t="str">
        <f>"2023-06-30 11:50"</f>
        <v>2023-06-30 11:50</v>
      </c>
      <c r="Q33" t="str">
        <f t="shared" ref="Q33:T33" si="51">"通过"</f>
        <v>通过</v>
      </c>
      <c r="R33" t="str">
        <f t="shared" si="51"/>
        <v>通过</v>
      </c>
      <c r="S33" t="str">
        <f t="shared" si="51"/>
        <v>通过</v>
      </c>
      <c r="T33" t="str">
        <f t="shared" si="51"/>
        <v>通过</v>
      </c>
    </row>
    <row r="34" spans="1:20">
      <c r="A34" t="str">
        <f>"李宇婷"</f>
        <v>李宇婷</v>
      </c>
      <c r="B34" t="str">
        <f>"2117211111005"</f>
        <v>2117211111005</v>
      </c>
      <c r="C34" t="str">
        <f>"人力21144"</f>
        <v>人力21144</v>
      </c>
      <c r="D34" t="str">
        <f t="shared" si="10"/>
        <v>2021</v>
      </c>
      <c r="E34" t="str">
        <f t="shared" si="0"/>
        <v>东莞电研院</v>
      </c>
      <c r="F34" t="str">
        <f t="shared" si="1"/>
        <v>专升本</v>
      </c>
      <c r="G34" t="str">
        <f>"人力资源管理"</f>
        <v>人力资源管理</v>
      </c>
      <c r="H34" t="str">
        <f t="shared" si="42"/>
        <v>业余</v>
      </c>
      <c r="I34" t="str">
        <f>"胡腊香"</f>
        <v>胡腊香</v>
      </c>
      <c r="J34" t="str">
        <f>"职业生涯设计与开发问题研究"</f>
        <v>职业生涯设计与开发问题研究</v>
      </c>
      <c r="K34" t="str">
        <f>"职业生涯研究"</f>
        <v>职业生涯研究</v>
      </c>
      <c r="L34" t="str">
        <f>"就业;职业生涯设计;发展历程;原则"</f>
        <v>就业;职业生涯设计;发展历程;原则</v>
      </c>
      <c r="M34" t="str">
        <f>"现场答辩"</f>
        <v>现场答辩</v>
      </c>
      <c r="N34" t="str">
        <f t="shared" si="47"/>
        <v>审核通过</v>
      </c>
      <c r="O34" t="str">
        <f t="shared" si="49"/>
        <v>胡腊香</v>
      </c>
      <c r="P34" t="str">
        <f>"2023-06-30 21:49"</f>
        <v>2023-06-30 21:49</v>
      </c>
      <c r="Q34" t="str">
        <f t="shared" ref="Q34:T34" si="52">"通过"</f>
        <v>通过</v>
      </c>
      <c r="R34" t="str">
        <f t="shared" si="52"/>
        <v>通过</v>
      </c>
      <c r="S34" t="str">
        <f t="shared" si="52"/>
        <v>通过</v>
      </c>
      <c r="T34" t="str">
        <f t="shared" si="52"/>
        <v>通过</v>
      </c>
    </row>
    <row r="35" spans="1:20">
      <c r="A35" t="str">
        <f>"穆东婵"</f>
        <v>穆东婵</v>
      </c>
      <c r="B35" t="str">
        <f>"2117211111008"</f>
        <v>2117211111008</v>
      </c>
      <c r="C35" t="str">
        <f>"人力21144"</f>
        <v>人力21144</v>
      </c>
      <c r="D35" t="str">
        <f t="shared" si="10"/>
        <v>2021</v>
      </c>
      <c r="E35" t="str">
        <f t="shared" si="0"/>
        <v>东莞电研院</v>
      </c>
      <c r="F35" t="str">
        <f t="shared" si="1"/>
        <v>专升本</v>
      </c>
      <c r="G35" t="str">
        <f>"人力资源管理"</f>
        <v>人力资源管理</v>
      </c>
      <c r="H35" t="str">
        <f t="shared" si="42"/>
        <v>业余</v>
      </c>
      <c r="I35" t="str">
        <f>"胡腊香"</f>
        <v>胡腊香</v>
      </c>
      <c r="J35" t="str">
        <f>"温氏集团员工激励政策问题研究"</f>
        <v>温氏集团员工激励政策问题研究</v>
      </c>
      <c r="K35" t="str">
        <f>"人力资源管理"</f>
        <v>人力资源管理</v>
      </c>
      <c r="L35" t="str">
        <f>"农牧业;人才激励;双因素理论;需求层次理论"</f>
        <v>农牧业;人才激励;双因素理论;需求层次理论</v>
      </c>
      <c r="M35" t="str">
        <f t="shared" ref="M35:M41" si="53">"书面答辩"</f>
        <v>书面答辩</v>
      </c>
      <c r="N35" t="str">
        <f t="shared" ref="N35:N41" si="54">"审核通过"</f>
        <v>审核通过</v>
      </c>
      <c r="O35" t="str">
        <f t="shared" si="49"/>
        <v>胡腊香</v>
      </c>
      <c r="P35" t="str">
        <f>"2023-06-29 15:54"</f>
        <v>2023-06-29 15:54</v>
      </c>
      <c r="Q35" t="str">
        <f t="shared" ref="Q35:T35" si="55">"通过"</f>
        <v>通过</v>
      </c>
      <c r="R35" t="str">
        <f t="shared" si="55"/>
        <v>通过</v>
      </c>
      <c r="S35" t="str">
        <f t="shared" si="55"/>
        <v>通过</v>
      </c>
      <c r="T35" t="str">
        <f t="shared" si="55"/>
        <v>通过</v>
      </c>
    </row>
    <row r="36" spans="1:20">
      <c r="A36" t="str">
        <f>"卢志文"</f>
        <v>卢志文</v>
      </c>
      <c r="B36" t="str">
        <f>"2117211115002"</f>
        <v>2117211115002</v>
      </c>
      <c r="C36" t="str">
        <f>"视觉传达21157"</f>
        <v>视觉传达21157</v>
      </c>
      <c r="D36" t="str">
        <f t="shared" si="10"/>
        <v>2021</v>
      </c>
      <c r="E36" t="str">
        <f t="shared" si="0"/>
        <v>东莞电研院</v>
      </c>
      <c r="F36" t="str">
        <f t="shared" si="1"/>
        <v>专升本</v>
      </c>
      <c r="G36" t="str">
        <f>"视觉传达设计"</f>
        <v>视觉传达设计</v>
      </c>
      <c r="H36" t="str">
        <f t="shared" si="42"/>
        <v>业余</v>
      </c>
      <c r="I36" t="str">
        <f>"庄伟"</f>
        <v>庄伟</v>
      </c>
      <c r="J36" t="str">
        <f>"石油企业广告策划的主要问题及对策研究"</f>
        <v>石油企业广告策划的主要问题及对策研究</v>
      </c>
      <c r="K36" t="str">
        <f>"网络广告策划策略"</f>
        <v>网络广告策划策略</v>
      </c>
      <c r="L36" t="str">
        <f>"石油企业;广告策划;市场"</f>
        <v>石油企业;广告策划;市场</v>
      </c>
      <c r="M36" t="str">
        <f t="shared" si="53"/>
        <v>书面答辩</v>
      </c>
      <c r="N36" t="str">
        <f t="shared" si="54"/>
        <v>审核通过</v>
      </c>
      <c r="O36" t="str">
        <f>"庄伟"</f>
        <v>庄伟</v>
      </c>
      <c r="P36" t="str">
        <f>"2023-06-29 17:14"</f>
        <v>2023-06-29 17:14</v>
      </c>
      <c r="Q36" t="str">
        <f t="shared" ref="Q36:S36" si="56">"通过"</f>
        <v>通过</v>
      </c>
      <c r="R36" t="str">
        <f t="shared" si="56"/>
        <v>通过</v>
      </c>
      <c r="S36" t="str">
        <f t="shared" si="56"/>
        <v>通过</v>
      </c>
      <c r="T36" t="str">
        <f>"未上传"</f>
        <v>未上传</v>
      </c>
    </row>
    <row r="37" spans="1:20">
      <c r="A37" t="str">
        <f>"龚俊僖"</f>
        <v>龚俊僖</v>
      </c>
      <c r="B37" t="str">
        <f>"2117212117005"</f>
        <v>2117212117005</v>
      </c>
      <c r="C37" t="str">
        <f>"工管21209"</f>
        <v>工管21209</v>
      </c>
      <c r="D37" t="str">
        <f t="shared" si="10"/>
        <v>2021</v>
      </c>
      <c r="E37" t="str">
        <f t="shared" si="0"/>
        <v>东莞电研院</v>
      </c>
      <c r="F37" t="str">
        <f t="shared" si="1"/>
        <v>专升本</v>
      </c>
      <c r="G37" t="str">
        <f>"工商管理"</f>
        <v>工商管理</v>
      </c>
      <c r="H37" t="str">
        <f t="shared" ref="H37:H44" si="57">"函授"</f>
        <v>函授</v>
      </c>
      <c r="I37" t="str">
        <f>"刘鑫"</f>
        <v>刘鑫</v>
      </c>
      <c r="J37" t="str">
        <f>"企业工商管理现状分析"</f>
        <v>企业工商管理现状分析</v>
      </c>
      <c r="K37" t="str">
        <f>"未来发展趋势"</f>
        <v>未来发展趋势</v>
      </c>
      <c r="L37" t="str">
        <f>"未来;发展;趋势;作用;分析"</f>
        <v>未来;发展;趋势;作用;分析</v>
      </c>
      <c r="M37" t="str">
        <f t="shared" si="53"/>
        <v>书面答辩</v>
      </c>
      <c r="N37" t="str">
        <f t="shared" si="54"/>
        <v>审核通过</v>
      </c>
      <c r="O37" t="str">
        <f>"刘鑫"</f>
        <v>刘鑫</v>
      </c>
      <c r="P37" t="str">
        <f>"2023-06-30 21:59"</f>
        <v>2023-06-30 21:59</v>
      </c>
      <c r="Q37" t="str">
        <f>"通过"</f>
        <v>通过</v>
      </c>
      <c r="R37" t="str">
        <f>"通过"</f>
        <v>通过</v>
      </c>
      <c r="S37" t="str">
        <f>"未上传"</f>
        <v>未上传</v>
      </c>
      <c r="T37" t="str">
        <f>"未上传"</f>
        <v>未上传</v>
      </c>
    </row>
    <row r="38" spans="1:20">
      <c r="A38" t="str">
        <f>"苏冠铭"</f>
        <v>苏冠铭</v>
      </c>
      <c r="B38" t="str">
        <f>"2117212117018"</f>
        <v>2117212117018</v>
      </c>
      <c r="C38" t="str">
        <f>"工管21209"</f>
        <v>工管21209</v>
      </c>
      <c r="D38" t="str">
        <f t="shared" si="10"/>
        <v>2021</v>
      </c>
      <c r="E38" t="str">
        <f t="shared" si="0"/>
        <v>东莞电研院</v>
      </c>
      <c r="F38" t="str">
        <f t="shared" si="1"/>
        <v>专升本</v>
      </c>
      <c r="G38" t="str">
        <f>"工商管理"</f>
        <v>工商管理</v>
      </c>
      <c r="H38" t="str">
        <f t="shared" si="57"/>
        <v>函授</v>
      </c>
      <c r="I38" t="str">
        <f>"刘鑫"</f>
        <v>刘鑫</v>
      </c>
      <c r="J38" t="str">
        <f>"当前企业成本管理的问题与对策"</f>
        <v>当前企业成本管理的问题与对策</v>
      </c>
      <c r="K38" t="str">
        <f>"成本管理"</f>
        <v>成本管理</v>
      </c>
      <c r="L38" t="str">
        <f>"成本;企业;问题;对策"</f>
        <v>成本;企业;问题;对策</v>
      </c>
      <c r="M38" t="str">
        <f t="shared" si="53"/>
        <v>书面答辩</v>
      </c>
      <c r="N38" t="str">
        <f t="shared" si="54"/>
        <v>审核通过</v>
      </c>
      <c r="O38" t="str">
        <f>"刘鑫"</f>
        <v>刘鑫</v>
      </c>
      <c r="P38" t="str">
        <f>"2023-06-29 15:59"</f>
        <v>2023-06-29 15:59</v>
      </c>
      <c r="Q38" t="str">
        <f>"未填写"</f>
        <v>未填写</v>
      </c>
      <c r="R38" t="str">
        <f>"未上传"</f>
        <v>未上传</v>
      </c>
      <c r="S38" t="str">
        <f>"未上传"</f>
        <v>未上传</v>
      </c>
      <c r="T38" t="str">
        <f>"未上传"</f>
        <v>未上传</v>
      </c>
    </row>
    <row r="39" spans="1:20">
      <c r="A39" t="str">
        <f>"文健新"</f>
        <v>文健新</v>
      </c>
      <c r="B39" t="str">
        <f>"2117212117022"</f>
        <v>2117212117022</v>
      </c>
      <c r="C39" t="str">
        <f>"工管21209"</f>
        <v>工管21209</v>
      </c>
      <c r="D39" t="str">
        <f t="shared" si="10"/>
        <v>2021</v>
      </c>
      <c r="E39" t="str">
        <f t="shared" si="0"/>
        <v>东莞电研院</v>
      </c>
      <c r="F39" t="str">
        <f t="shared" si="1"/>
        <v>专升本</v>
      </c>
      <c r="G39" t="str">
        <f>"工商管理"</f>
        <v>工商管理</v>
      </c>
      <c r="H39" t="str">
        <f t="shared" si="57"/>
        <v>函授</v>
      </c>
      <c r="I39" t="str">
        <f>"刘鑫"</f>
        <v>刘鑫</v>
      </c>
      <c r="J39" t="str">
        <f>"浅谈企业品牌战略管理"</f>
        <v>浅谈企业品牌战略管理</v>
      </c>
      <c r="K39" t="str">
        <f>"企业"</f>
        <v>企业</v>
      </c>
      <c r="L39" t="str">
        <f>"品牌;品牌管理;品牌战略"</f>
        <v>品牌;品牌管理;品牌战略</v>
      </c>
      <c r="M39" t="str">
        <f t="shared" si="53"/>
        <v>书面答辩</v>
      </c>
      <c r="N39" t="str">
        <f t="shared" si="54"/>
        <v>审核通过</v>
      </c>
      <c r="O39" t="str">
        <f>"刘鑫"</f>
        <v>刘鑫</v>
      </c>
      <c r="P39" t="str">
        <f>"2023-06-30 22:09"</f>
        <v>2023-06-30 22:09</v>
      </c>
      <c r="Q39" t="str">
        <f t="shared" ref="Q39:T39" si="58">"通过"</f>
        <v>通过</v>
      </c>
      <c r="R39" t="str">
        <f t="shared" si="58"/>
        <v>通过</v>
      </c>
      <c r="S39" t="str">
        <f t="shared" si="58"/>
        <v>通过</v>
      </c>
      <c r="T39" t="str">
        <f t="shared" si="58"/>
        <v>通过</v>
      </c>
    </row>
    <row r="40" spans="1:20">
      <c r="A40" t="str">
        <f>"袁焕燕"</f>
        <v>袁焕燕</v>
      </c>
      <c r="B40" t="str">
        <f>"2117212117030"</f>
        <v>2117212117030</v>
      </c>
      <c r="C40" t="str">
        <f>"工管21209"</f>
        <v>工管21209</v>
      </c>
      <c r="D40" t="str">
        <f t="shared" si="10"/>
        <v>2021</v>
      </c>
      <c r="E40" t="str">
        <f t="shared" si="0"/>
        <v>东莞电研院</v>
      </c>
      <c r="F40" t="str">
        <f t="shared" si="1"/>
        <v>专升本</v>
      </c>
      <c r="G40" t="str">
        <f>"工商管理"</f>
        <v>工商管理</v>
      </c>
      <c r="H40" t="str">
        <f t="shared" si="57"/>
        <v>函授</v>
      </c>
      <c r="I40" t="str">
        <f>"刘鑫"</f>
        <v>刘鑫</v>
      </c>
      <c r="J40" t="str">
        <f>"我国企业品牌研究"</f>
        <v>我国企业品牌研究</v>
      </c>
      <c r="K40" t="str">
        <f>"中国企业;品牌战略"</f>
        <v>中国企业;品牌战略</v>
      </c>
      <c r="L40" t="str">
        <f>"发展历程;问题;对策;展望"</f>
        <v>发展历程;问题;对策;展望</v>
      </c>
      <c r="M40" t="str">
        <f t="shared" si="53"/>
        <v>书面答辩</v>
      </c>
      <c r="N40" t="str">
        <f t="shared" si="54"/>
        <v>审核通过</v>
      </c>
      <c r="O40" t="str">
        <f>"刘鑫"</f>
        <v>刘鑫</v>
      </c>
      <c r="P40" t="str">
        <f>"2023-06-29 17:05"</f>
        <v>2023-06-29 17:05</v>
      </c>
      <c r="Q40" t="str">
        <f t="shared" ref="Q40:T40" si="59">"通过"</f>
        <v>通过</v>
      </c>
      <c r="R40" t="str">
        <f t="shared" si="59"/>
        <v>通过</v>
      </c>
      <c r="S40" t="str">
        <f t="shared" si="59"/>
        <v>通过</v>
      </c>
      <c r="T40" t="str">
        <f t="shared" si="59"/>
        <v>通过</v>
      </c>
    </row>
    <row r="41" spans="1:20">
      <c r="A41" t="str">
        <f>"陈政杰"</f>
        <v>陈政杰</v>
      </c>
      <c r="B41" t="str">
        <f>"2117212118002"</f>
        <v>2117212118002</v>
      </c>
      <c r="C41" t="str">
        <f>"行管21222"</f>
        <v>行管21222</v>
      </c>
      <c r="D41" t="str">
        <f t="shared" si="10"/>
        <v>2021</v>
      </c>
      <c r="E41" t="str">
        <f t="shared" si="0"/>
        <v>东莞电研院</v>
      </c>
      <c r="F41" t="str">
        <f t="shared" si="1"/>
        <v>专升本</v>
      </c>
      <c r="G41" t="str">
        <f>"行政管理"</f>
        <v>行政管理</v>
      </c>
      <c r="H41" t="str">
        <f t="shared" si="57"/>
        <v>函授</v>
      </c>
      <c r="I41" t="str">
        <f>"刘文兰"</f>
        <v>刘文兰</v>
      </c>
      <c r="J41" t="str">
        <f>"我国行政管理模式的问题分析和研究"</f>
        <v>我国行政管理模式的问题分析和研究</v>
      </c>
      <c r="K41" t="str">
        <f>"概念;现象"</f>
        <v>概念;现象</v>
      </c>
      <c r="L41" t="str">
        <f>"概念;行政管理;生态;分析;构建"</f>
        <v>概念;行政管理;生态;分析;构建</v>
      </c>
      <c r="M41" t="str">
        <f t="shared" si="53"/>
        <v>书面答辩</v>
      </c>
      <c r="N41" t="str">
        <f t="shared" si="54"/>
        <v>审核通过</v>
      </c>
      <c r="O41" t="str">
        <f>"刘文兰"</f>
        <v>刘文兰</v>
      </c>
      <c r="P41" t="str">
        <f>"2023-06-30 17:46"</f>
        <v>2023-06-30 17:46</v>
      </c>
      <c r="Q41" t="str">
        <f>"通过"</f>
        <v>通过</v>
      </c>
      <c r="R41" t="str">
        <f>"通过"</f>
        <v>通过</v>
      </c>
      <c r="S41" t="str">
        <f>"未上传"</f>
        <v>未上传</v>
      </c>
      <c r="T41" t="str">
        <f>"未上传"</f>
        <v>未上传</v>
      </c>
    </row>
    <row r="42" spans="1:20">
      <c r="A42" t="str">
        <f>"李璇"</f>
        <v>李璇</v>
      </c>
      <c r="B42" t="str">
        <f>"2117212118009"</f>
        <v>2117212118009</v>
      </c>
      <c r="C42" t="str">
        <f>"行管21222"</f>
        <v>行管21222</v>
      </c>
      <c r="D42" t="str">
        <f t="shared" ref="D42:D105" si="60">"2021"</f>
        <v>2021</v>
      </c>
      <c r="E42" t="str">
        <f t="shared" si="0"/>
        <v>东莞电研院</v>
      </c>
      <c r="F42" t="str">
        <f t="shared" si="1"/>
        <v>专升本</v>
      </c>
      <c r="G42" t="str">
        <f>"行政管理"</f>
        <v>行政管理</v>
      </c>
      <c r="H42" t="str">
        <f t="shared" si="57"/>
        <v>函授</v>
      </c>
      <c r="I42" t="str">
        <f>"刘文兰"</f>
        <v>刘文兰</v>
      </c>
      <c r="J42" t="str">
        <f>"营销活动策划及推广研究"</f>
        <v>营销活动策划及推广研究</v>
      </c>
      <c r="K42" t="str">
        <f>"营销活动"</f>
        <v>营销活动</v>
      </c>
      <c r="L42" t="str">
        <f>"营销活动;策划;推广"</f>
        <v>营销活动;策划;推广</v>
      </c>
      <c r="M42" t="str">
        <f t="shared" ref="M42:M47" si="61">"书面答辩"</f>
        <v>书面答辩</v>
      </c>
      <c r="N42" t="str">
        <f t="shared" ref="N42:N48" si="62">"审核通过"</f>
        <v>审核通过</v>
      </c>
      <c r="O42" t="str">
        <f>"刘文兰"</f>
        <v>刘文兰</v>
      </c>
      <c r="P42" t="str">
        <f>"2023-06-29 15:59"</f>
        <v>2023-06-29 15:59</v>
      </c>
      <c r="Q42" t="str">
        <f>"未填写"</f>
        <v>未填写</v>
      </c>
      <c r="R42" t="str">
        <f>"未上传"</f>
        <v>未上传</v>
      </c>
      <c r="S42" t="str">
        <f>"未上传"</f>
        <v>未上传</v>
      </c>
      <c r="T42" t="str">
        <f>"未上传"</f>
        <v>未上传</v>
      </c>
    </row>
    <row r="43" spans="1:20">
      <c r="A43" t="str">
        <f>"谢志权"</f>
        <v>谢志权</v>
      </c>
      <c r="B43" t="str">
        <f>"2117212118014"</f>
        <v>2117212118014</v>
      </c>
      <c r="C43" t="str">
        <f>"行管21222"</f>
        <v>行管21222</v>
      </c>
      <c r="D43" t="str">
        <f t="shared" si="60"/>
        <v>2021</v>
      </c>
      <c r="E43" t="str">
        <f t="shared" si="0"/>
        <v>东莞电研院</v>
      </c>
      <c r="F43" t="str">
        <f t="shared" si="1"/>
        <v>专升本</v>
      </c>
      <c r="G43" t="str">
        <f>"行政管理"</f>
        <v>行政管理</v>
      </c>
      <c r="H43" t="str">
        <f t="shared" si="57"/>
        <v>函授</v>
      </c>
      <c r="I43" t="str">
        <f>"刘文兰"</f>
        <v>刘文兰</v>
      </c>
      <c r="J43" t="str">
        <f>"服装行业营销战略"</f>
        <v>服装行业营销战略</v>
      </c>
      <c r="K43" t="str">
        <f>"服装行业"</f>
        <v>服装行业</v>
      </c>
      <c r="L43" t="str">
        <f>"营销;策略;服装"</f>
        <v>营销;策略;服装</v>
      </c>
      <c r="M43" t="str">
        <f t="shared" si="61"/>
        <v>书面答辩</v>
      </c>
      <c r="N43" t="str">
        <f t="shared" si="62"/>
        <v>审核通过</v>
      </c>
      <c r="O43" t="str">
        <f>"刘文兰"</f>
        <v>刘文兰</v>
      </c>
      <c r="P43" t="str">
        <f>"2023-06-30 17:30"</f>
        <v>2023-06-30 17:30</v>
      </c>
      <c r="Q43" t="str">
        <f>"未填写"</f>
        <v>未填写</v>
      </c>
      <c r="R43" t="str">
        <f>"未上传"</f>
        <v>未上传</v>
      </c>
      <c r="S43" t="str">
        <f>"未上传"</f>
        <v>未上传</v>
      </c>
      <c r="T43" t="str">
        <f>"未上传"</f>
        <v>未上传</v>
      </c>
    </row>
    <row r="44" spans="1:20">
      <c r="A44" t="str">
        <f>"黄铁峰"</f>
        <v>黄铁峰</v>
      </c>
      <c r="B44" t="str">
        <f>"2117212119004"</f>
        <v>2117212119004</v>
      </c>
      <c r="C44" t="str">
        <f>"计机科技21240"</f>
        <v>计机科技21240</v>
      </c>
      <c r="D44" t="str">
        <f t="shared" si="60"/>
        <v>2021</v>
      </c>
      <c r="E44" t="str">
        <f t="shared" si="0"/>
        <v>东莞电研院</v>
      </c>
      <c r="F44" t="str">
        <f t="shared" si="1"/>
        <v>专升本</v>
      </c>
      <c r="G44" t="str">
        <f>"计算机科学与技术"</f>
        <v>计算机科学与技术</v>
      </c>
      <c r="H44" t="str">
        <f t="shared" si="57"/>
        <v>函授</v>
      </c>
      <c r="I44" t="str">
        <f>"罗静"</f>
        <v>罗静</v>
      </c>
      <c r="J44" t="str">
        <f>"家电企业售后一站式服务平台设计"</f>
        <v>家电企业售后一站式服务平台设计</v>
      </c>
      <c r="K44" t="str">
        <f>"系统设计与实现"</f>
        <v>系统设计与实现</v>
      </c>
      <c r="L44" t="str">
        <f>"服务商;工程师;基础数据"</f>
        <v>服务商;工程师;基础数据</v>
      </c>
      <c r="M44" t="str">
        <f>"现场答辩"</f>
        <v>现场答辩</v>
      </c>
      <c r="N44" t="str">
        <f t="shared" si="62"/>
        <v>审核通过</v>
      </c>
      <c r="O44" t="str">
        <f>"罗静"</f>
        <v>罗静</v>
      </c>
      <c r="P44" t="str">
        <f>"2023-06-29 17:06"</f>
        <v>2023-06-29 17:06</v>
      </c>
      <c r="Q44" t="str">
        <f t="shared" ref="Q44:T44" si="63">"通过"</f>
        <v>通过</v>
      </c>
      <c r="R44" t="str">
        <f t="shared" si="63"/>
        <v>通过</v>
      </c>
      <c r="S44" t="str">
        <f t="shared" si="63"/>
        <v>通过</v>
      </c>
      <c r="T44" t="str">
        <f t="shared" si="63"/>
        <v>通过</v>
      </c>
    </row>
    <row r="45" spans="1:20">
      <c r="A45" t="str">
        <f>"潘晓梅"</f>
        <v>潘晓梅</v>
      </c>
      <c r="B45" t="str">
        <f>"2117311101004"</f>
        <v>2117311101004</v>
      </c>
      <c r="C45" t="str">
        <f>"金融21128"</f>
        <v>金融21128</v>
      </c>
      <c r="D45" t="str">
        <f t="shared" si="60"/>
        <v>2021</v>
      </c>
      <c r="E45" t="str">
        <f t="shared" si="0"/>
        <v>东莞电研院</v>
      </c>
      <c r="F45" t="str">
        <f t="shared" si="1"/>
        <v>专升本</v>
      </c>
      <c r="G45" t="str">
        <f>"金融学"</f>
        <v>金融学</v>
      </c>
      <c r="H45" t="str">
        <f t="shared" ref="H45:H63" si="64">"业余"</f>
        <v>业余</v>
      </c>
      <c r="I45" t="str">
        <f>"许雪玉"</f>
        <v>许雪玉</v>
      </c>
      <c r="J45" t="str">
        <f>"企业并购中的财务问题探究"</f>
        <v>企业并购中的财务问题探究</v>
      </c>
      <c r="K45" t="str">
        <f>"理论研究"</f>
        <v>理论研究</v>
      </c>
      <c r="L45" t="str">
        <f>"并购;财务风险;风险防范"</f>
        <v>并购;财务风险;风险防范</v>
      </c>
      <c r="M45" t="str">
        <f t="shared" si="61"/>
        <v>书面答辩</v>
      </c>
      <c r="N45" t="str">
        <f t="shared" si="62"/>
        <v>审核通过</v>
      </c>
      <c r="O45" t="str">
        <f>"许雪玉"</f>
        <v>许雪玉</v>
      </c>
      <c r="P45" t="str">
        <f>"2023-06-30 18:38"</f>
        <v>2023-06-30 18:38</v>
      </c>
      <c r="Q45" t="str">
        <f t="shared" ref="Q45:T45" si="65">"通过"</f>
        <v>通过</v>
      </c>
      <c r="R45" t="str">
        <f t="shared" si="65"/>
        <v>通过</v>
      </c>
      <c r="S45" t="str">
        <f t="shared" si="65"/>
        <v>通过</v>
      </c>
      <c r="T45" t="str">
        <f t="shared" si="65"/>
        <v>通过</v>
      </c>
    </row>
    <row r="46" spans="1:20">
      <c r="A46" t="str">
        <f>"卢斯龙"</f>
        <v>卢斯龙</v>
      </c>
      <c r="B46" t="str">
        <f>"2117311102002"</f>
        <v>2117311102002</v>
      </c>
      <c r="C46" t="str">
        <f>"国贸21090"</f>
        <v>国贸21090</v>
      </c>
      <c r="D46" t="str">
        <f t="shared" si="60"/>
        <v>2021</v>
      </c>
      <c r="E46" t="str">
        <f t="shared" si="0"/>
        <v>东莞电研院</v>
      </c>
      <c r="F46" t="str">
        <f t="shared" si="1"/>
        <v>专升本</v>
      </c>
      <c r="G46" t="str">
        <f>"国际经济与贸易"</f>
        <v>国际经济与贸易</v>
      </c>
      <c r="H46" t="str">
        <f t="shared" si="64"/>
        <v>业余</v>
      </c>
      <c r="I46" t="str">
        <f>"彭扬"</f>
        <v>彭扬</v>
      </c>
      <c r="J46" t="str">
        <f>"浅谈电子商务背景下企业营销模式的创新"</f>
        <v>浅谈电子商务背景下企业营销模式的创新</v>
      </c>
      <c r="K46" t="str">
        <f>"应用研究"</f>
        <v>应用研究</v>
      </c>
      <c r="L46" t="str">
        <f>"商务模式;思想创新;发展战略"</f>
        <v>商务模式;思想创新;发展战略</v>
      </c>
      <c r="M46" t="str">
        <f t="shared" si="61"/>
        <v>书面答辩</v>
      </c>
      <c r="N46" t="str">
        <f t="shared" si="62"/>
        <v>审核通过</v>
      </c>
      <c r="O46" t="str">
        <f>"彭扬"</f>
        <v>彭扬</v>
      </c>
      <c r="P46" t="str">
        <f>"2023-06-30 18:35"</f>
        <v>2023-06-30 18:35</v>
      </c>
      <c r="Q46" t="str">
        <f t="shared" ref="Q46:T46" si="66">"通过"</f>
        <v>通过</v>
      </c>
      <c r="R46" t="str">
        <f t="shared" si="66"/>
        <v>通过</v>
      </c>
      <c r="S46" t="str">
        <f t="shared" si="66"/>
        <v>通过</v>
      </c>
      <c r="T46" t="str">
        <f t="shared" si="66"/>
        <v>通过</v>
      </c>
    </row>
    <row r="47" spans="1:20">
      <c r="A47" t="str">
        <f>"陈美佳"</f>
        <v>陈美佳</v>
      </c>
      <c r="B47" t="str">
        <f>"2117311103003"</f>
        <v>2117311103003</v>
      </c>
      <c r="C47" t="str">
        <f t="shared" ref="C47:C53" si="67">"法学21069"</f>
        <v>法学21069</v>
      </c>
      <c r="D47" t="str">
        <f t="shared" si="60"/>
        <v>2021</v>
      </c>
      <c r="E47" t="str">
        <f t="shared" si="0"/>
        <v>东莞电研院</v>
      </c>
      <c r="F47" t="str">
        <f t="shared" si="1"/>
        <v>专升本</v>
      </c>
      <c r="G47" t="str">
        <f t="shared" ref="G47:G53" si="68">"法学"</f>
        <v>法学</v>
      </c>
      <c r="H47" t="str">
        <f t="shared" si="64"/>
        <v>业余</v>
      </c>
      <c r="I47" t="str">
        <f t="shared" ref="I47:I52" si="69">"孟令红"</f>
        <v>孟令红</v>
      </c>
      <c r="J47" t="str">
        <f>"论“恶意差评”行为的法律定位与责任"</f>
        <v>论“恶意差评”行为的法律定位与责任</v>
      </c>
      <c r="K47" t="str">
        <f>"理论研究"</f>
        <v>理论研究</v>
      </c>
      <c r="L47" t="str">
        <f>"恶意差评;法律定位与;定位"</f>
        <v>恶意差评;法律定位与;定位</v>
      </c>
      <c r="M47" t="str">
        <f t="shared" si="61"/>
        <v>书面答辩</v>
      </c>
      <c r="N47" t="str">
        <f t="shared" si="62"/>
        <v>审核通过</v>
      </c>
      <c r="O47" t="str">
        <f t="shared" ref="O47:O52" si="70">"孟令红"</f>
        <v>孟令红</v>
      </c>
      <c r="P47" t="str">
        <f>"2023-06-30 18:32"</f>
        <v>2023-06-30 18:32</v>
      </c>
      <c r="Q47" t="str">
        <f>"未填写"</f>
        <v>未填写</v>
      </c>
      <c r="R47" t="str">
        <f t="shared" ref="R47:T47" si="71">"未上传"</f>
        <v>未上传</v>
      </c>
      <c r="S47" t="str">
        <f t="shared" si="71"/>
        <v>未上传</v>
      </c>
      <c r="T47" t="str">
        <f t="shared" si="71"/>
        <v>未上传</v>
      </c>
    </row>
    <row r="48" spans="1:20">
      <c r="A48" t="str">
        <f>"程文丽"</f>
        <v>程文丽</v>
      </c>
      <c r="B48" t="str">
        <f>"2117311103006"</f>
        <v>2117311103006</v>
      </c>
      <c r="C48" t="str">
        <f t="shared" si="67"/>
        <v>法学21069</v>
      </c>
      <c r="D48" t="str">
        <f t="shared" si="60"/>
        <v>2021</v>
      </c>
      <c r="E48" t="str">
        <f t="shared" si="0"/>
        <v>东莞电研院</v>
      </c>
      <c r="F48" t="str">
        <f t="shared" si="1"/>
        <v>专升本</v>
      </c>
      <c r="G48" t="str">
        <f t="shared" si="68"/>
        <v>法学</v>
      </c>
      <c r="H48" t="str">
        <f t="shared" si="64"/>
        <v>业余</v>
      </c>
      <c r="I48" t="str">
        <f t="shared" si="69"/>
        <v>孟令红</v>
      </c>
      <c r="J48" t="str">
        <f>"论“恶意差评”行为的法律定位与责任"</f>
        <v>论“恶意差评”行为的法律定位与责任</v>
      </c>
      <c r="K48" t="str">
        <f>"应用研究"</f>
        <v>应用研究</v>
      </c>
      <c r="L48" t="str">
        <f>"恶意差评;法律定位;法律责任"</f>
        <v>恶意差评;法律定位;法律责任</v>
      </c>
      <c r="M48" t="str">
        <f>"现场答辩"</f>
        <v>现场答辩</v>
      </c>
      <c r="N48" t="str">
        <f t="shared" si="62"/>
        <v>审核通过</v>
      </c>
      <c r="O48" t="str">
        <f t="shared" si="70"/>
        <v>孟令红</v>
      </c>
      <c r="P48" t="str">
        <f>"2023-06-30 18:32"</f>
        <v>2023-06-30 18:32</v>
      </c>
      <c r="Q48" t="str">
        <f t="shared" ref="Q48:T48" si="72">"通过"</f>
        <v>通过</v>
      </c>
      <c r="R48" t="str">
        <f t="shared" si="72"/>
        <v>通过</v>
      </c>
      <c r="S48" t="str">
        <f t="shared" si="72"/>
        <v>通过</v>
      </c>
      <c r="T48" t="str">
        <f t="shared" si="72"/>
        <v>通过</v>
      </c>
    </row>
    <row r="49" spans="1:20">
      <c r="A49" t="str">
        <f>"梁潇"</f>
        <v>梁潇</v>
      </c>
      <c r="B49" t="str">
        <f>"2117311103017"</f>
        <v>2117311103017</v>
      </c>
      <c r="C49" t="str">
        <f t="shared" si="67"/>
        <v>法学21069</v>
      </c>
      <c r="D49" t="str">
        <f t="shared" si="60"/>
        <v>2021</v>
      </c>
      <c r="E49" t="str">
        <f t="shared" si="0"/>
        <v>东莞电研院</v>
      </c>
      <c r="F49" t="str">
        <f t="shared" si="1"/>
        <v>专升本</v>
      </c>
      <c r="G49" t="str">
        <f t="shared" si="68"/>
        <v>法学</v>
      </c>
      <c r="H49" t="str">
        <f t="shared" si="64"/>
        <v>业余</v>
      </c>
      <c r="I49" t="str">
        <f t="shared" si="69"/>
        <v>孟令红</v>
      </c>
      <c r="J49" t="str">
        <f>"我国劳动者隐私权保护研究"</f>
        <v>我国劳动者隐私权保护研究</v>
      </c>
      <c r="K49" t="str">
        <f>"劳动者隐私权保护"</f>
        <v>劳动者隐私权保护</v>
      </c>
      <c r="L49" t="str">
        <f>"劳动者;隐私权;保护"</f>
        <v>劳动者;隐私权;保护</v>
      </c>
      <c r="M49" t="str">
        <f t="shared" ref="M49:M52" si="73">"书面答辩"</f>
        <v>书面答辩</v>
      </c>
      <c r="N49" t="str">
        <f t="shared" ref="N49:N53" si="74">"审核通过"</f>
        <v>审核通过</v>
      </c>
      <c r="O49" t="str">
        <f t="shared" si="70"/>
        <v>孟令红</v>
      </c>
      <c r="P49" t="str">
        <f>"2023-06-30 14:23"</f>
        <v>2023-06-30 14:23</v>
      </c>
      <c r="Q49" t="str">
        <f t="shared" ref="Q49:T49" si="75">"通过"</f>
        <v>通过</v>
      </c>
      <c r="R49" t="str">
        <f t="shared" si="75"/>
        <v>通过</v>
      </c>
      <c r="S49" t="str">
        <f t="shared" si="75"/>
        <v>通过</v>
      </c>
      <c r="T49" t="str">
        <f t="shared" si="75"/>
        <v>通过</v>
      </c>
    </row>
    <row r="50" spans="1:20">
      <c r="A50" t="str">
        <f>"林志邦"</f>
        <v>林志邦</v>
      </c>
      <c r="B50" t="str">
        <f>"2117311103019"</f>
        <v>2117311103019</v>
      </c>
      <c r="C50" t="str">
        <f t="shared" si="67"/>
        <v>法学21069</v>
      </c>
      <c r="D50" t="str">
        <f t="shared" si="60"/>
        <v>2021</v>
      </c>
      <c r="E50" t="str">
        <f t="shared" si="0"/>
        <v>东莞电研院</v>
      </c>
      <c r="F50" t="str">
        <f t="shared" si="1"/>
        <v>专升本</v>
      </c>
      <c r="G50" t="str">
        <f t="shared" si="68"/>
        <v>法学</v>
      </c>
      <c r="H50" t="str">
        <f t="shared" si="64"/>
        <v>业余</v>
      </c>
      <c r="I50" t="str">
        <f t="shared" si="69"/>
        <v>孟令红</v>
      </c>
      <c r="J50" t="str">
        <f>"网络游戏直播的著作权问题研究"</f>
        <v>网络游戏直播的著作权问题研究</v>
      </c>
      <c r="K50" t="str">
        <f t="shared" ref="K50:K54" si="76">"理论研究"</f>
        <v>理论研究</v>
      </c>
      <c r="L50" t="str">
        <f>"网络游戏;著作权;著作权"</f>
        <v>网络游戏;著作权;著作权</v>
      </c>
      <c r="M50" t="str">
        <f t="shared" si="73"/>
        <v>书面答辩</v>
      </c>
      <c r="N50" t="str">
        <f t="shared" si="74"/>
        <v>审核通过</v>
      </c>
      <c r="O50" t="str">
        <f t="shared" si="70"/>
        <v>孟令红</v>
      </c>
      <c r="P50" t="str">
        <f>"2023-06-30 18:33"</f>
        <v>2023-06-30 18:33</v>
      </c>
      <c r="Q50" t="str">
        <f t="shared" ref="Q50:T50" si="77">"通过"</f>
        <v>通过</v>
      </c>
      <c r="R50" t="str">
        <f t="shared" si="77"/>
        <v>通过</v>
      </c>
      <c r="S50" t="str">
        <f t="shared" si="77"/>
        <v>通过</v>
      </c>
      <c r="T50" t="str">
        <f t="shared" si="77"/>
        <v>通过</v>
      </c>
    </row>
    <row r="51" spans="1:20">
      <c r="A51" t="str">
        <f>"罗文锦"</f>
        <v>罗文锦</v>
      </c>
      <c r="B51" t="str">
        <f>"2117311103021"</f>
        <v>2117311103021</v>
      </c>
      <c r="C51" t="str">
        <f t="shared" si="67"/>
        <v>法学21069</v>
      </c>
      <c r="D51" t="str">
        <f t="shared" si="60"/>
        <v>2021</v>
      </c>
      <c r="E51" t="str">
        <f t="shared" si="0"/>
        <v>东莞电研院</v>
      </c>
      <c r="F51" t="str">
        <f t="shared" si="1"/>
        <v>专升本</v>
      </c>
      <c r="G51" t="str">
        <f t="shared" si="68"/>
        <v>法学</v>
      </c>
      <c r="H51" t="str">
        <f t="shared" si="64"/>
        <v>业余</v>
      </c>
      <c r="I51" t="str">
        <f t="shared" si="69"/>
        <v>孟令红</v>
      </c>
      <c r="J51" t="str">
        <f>"虚假广告法律治理研究"</f>
        <v>虚假广告法律治理研究</v>
      </c>
      <c r="K51" t="str">
        <f t="shared" si="76"/>
        <v>理论研究</v>
      </c>
      <c r="L51" t="str">
        <f>"虚假广告;规制;法律"</f>
        <v>虚假广告;规制;法律</v>
      </c>
      <c r="M51" t="str">
        <f t="shared" si="73"/>
        <v>书面答辩</v>
      </c>
      <c r="N51" t="str">
        <f t="shared" si="74"/>
        <v>审核通过</v>
      </c>
      <c r="O51" t="str">
        <f t="shared" si="70"/>
        <v>孟令红</v>
      </c>
      <c r="P51" t="str">
        <f>"2023-06-30 18:33"</f>
        <v>2023-06-30 18:33</v>
      </c>
      <c r="Q51" t="str">
        <f t="shared" ref="Q51:T51" si="78">"通过"</f>
        <v>通过</v>
      </c>
      <c r="R51" t="str">
        <f t="shared" si="78"/>
        <v>通过</v>
      </c>
      <c r="S51" t="str">
        <f t="shared" si="78"/>
        <v>通过</v>
      </c>
      <c r="T51" t="str">
        <f t="shared" si="78"/>
        <v>通过</v>
      </c>
    </row>
    <row r="52" spans="1:20">
      <c r="A52" t="str">
        <f>"彭超"</f>
        <v>彭超</v>
      </c>
      <c r="B52" t="str">
        <f>"2117311103023"</f>
        <v>2117311103023</v>
      </c>
      <c r="C52" t="str">
        <f t="shared" si="67"/>
        <v>法学21069</v>
      </c>
      <c r="D52" t="str">
        <f t="shared" si="60"/>
        <v>2021</v>
      </c>
      <c r="E52" t="str">
        <f t="shared" si="0"/>
        <v>东莞电研院</v>
      </c>
      <c r="F52" t="str">
        <f t="shared" si="1"/>
        <v>专升本</v>
      </c>
      <c r="G52" t="str">
        <f t="shared" si="68"/>
        <v>法学</v>
      </c>
      <c r="H52" t="str">
        <f t="shared" si="64"/>
        <v>业余</v>
      </c>
      <c r="I52" t="str">
        <f t="shared" si="69"/>
        <v>孟令红</v>
      </c>
      <c r="J52" t="str">
        <f>"企业法律顾问制度存在的问题及对策分析"</f>
        <v>企业法律顾问制度存在的问题及对策分析</v>
      </c>
      <c r="K52" t="str">
        <f>"企业法律顾问制度"</f>
        <v>企业法律顾问制度</v>
      </c>
      <c r="L52" t="str">
        <f>"法律;制度;对策分析"</f>
        <v>法律;制度;对策分析</v>
      </c>
      <c r="M52" t="str">
        <f t="shared" si="73"/>
        <v>书面答辩</v>
      </c>
      <c r="N52" t="str">
        <f t="shared" si="74"/>
        <v>审核通过</v>
      </c>
      <c r="O52" t="str">
        <f t="shared" si="70"/>
        <v>孟令红</v>
      </c>
      <c r="P52" t="str">
        <f>"2023-06-28 09:00"</f>
        <v>2023-06-28 09:00</v>
      </c>
      <c r="Q52" t="str">
        <f t="shared" ref="Q52:T52" si="79">"通过"</f>
        <v>通过</v>
      </c>
      <c r="R52" t="str">
        <f t="shared" si="79"/>
        <v>通过</v>
      </c>
      <c r="S52" t="str">
        <f t="shared" si="79"/>
        <v>通过</v>
      </c>
      <c r="T52" t="str">
        <f t="shared" si="79"/>
        <v>通过</v>
      </c>
    </row>
    <row r="53" spans="1:20">
      <c r="A53" t="str">
        <f>"唐斯涛"</f>
        <v>唐斯涛</v>
      </c>
      <c r="B53" t="str">
        <f>"2117311103025"</f>
        <v>2117311103025</v>
      </c>
      <c r="C53" t="str">
        <f t="shared" si="67"/>
        <v>法学21069</v>
      </c>
      <c r="D53" t="str">
        <f t="shared" si="60"/>
        <v>2021</v>
      </c>
      <c r="E53" t="str">
        <f t="shared" si="0"/>
        <v>东莞电研院</v>
      </c>
      <c r="F53" t="str">
        <f t="shared" si="1"/>
        <v>专升本</v>
      </c>
      <c r="G53" t="str">
        <f t="shared" si="68"/>
        <v>法学</v>
      </c>
      <c r="H53" t="str">
        <f t="shared" si="64"/>
        <v>业余</v>
      </c>
      <c r="I53" t="str">
        <f>"荣佳"</f>
        <v>荣佳</v>
      </c>
      <c r="J53" t="str">
        <f>"大数据背景下隐私权的法律保护"</f>
        <v>大数据背景下隐私权的法律保护</v>
      </c>
      <c r="K53" t="str">
        <f t="shared" si="76"/>
        <v>理论研究</v>
      </c>
      <c r="L53" t="str">
        <f>"大数据;隐私权;法律保护"</f>
        <v>大数据;隐私权;法律保护</v>
      </c>
      <c r="M53" t="str">
        <f>"现场答辩"</f>
        <v>现场答辩</v>
      </c>
      <c r="N53" t="str">
        <f t="shared" si="74"/>
        <v>审核通过</v>
      </c>
      <c r="O53" t="str">
        <f>"荣佳"</f>
        <v>荣佳</v>
      </c>
      <c r="P53" t="str">
        <f>"2023-06-29 17:11"</f>
        <v>2023-06-29 17:11</v>
      </c>
      <c r="Q53" t="str">
        <f t="shared" ref="Q53:T53" si="80">"通过"</f>
        <v>通过</v>
      </c>
      <c r="R53" t="str">
        <f t="shared" si="80"/>
        <v>通过</v>
      </c>
      <c r="S53" t="str">
        <f t="shared" si="80"/>
        <v>通过</v>
      </c>
      <c r="T53" t="str">
        <f t="shared" si="80"/>
        <v>通过</v>
      </c>
    </row>
    <row r="54" spans="1:20">
      <c r="A54" t="str">
        <f>"凌华燕"</f>
        <v>凌华燕</v>
      </c>
      <c r="B54" t="str">
        <f>"2117311104002"</f>
        <v>2117311104002</v>
      </c>
      <c r="C54" t="str">
        <f>"英语21182"</f>
        <v>英语21182</v>
      </c>
      <c r="D54" t="str">
        <f t="shared" si="60"/>
        <v>2021</v>
      </c>
      <c r="E54" t="str">
        <f t="shared" si="0"/>
        <v>东莞电研院</v>
      </c>
      <c r="F54" t="str">
        <f t="shared" si="1"/>
        <v>专升本</v>
      </c>
      <c r="G54" t="str">
        <f>"英语"</f>
        <v>英语</v>
      </c>
      <c r="H54" t="str">
        <f t="shared" si="64"/>
        <v>业余</v>
      </c>
      <c r="I54" t="str">
        <f>"陈丽兰"</f>
        <v>陈丽兰</v>
      </c>
      <c r="J54" t="str">
        <f>"中美语言文化的同与异（Language’s cultural similarities and differences of Chinese and American"</f>
        <v>中美语言文化的同与异（Language’s cultural similarities and differences of Chinese and American</v>
      </c>
      <c r="K54" t="str">
        <f t="shared" si="76"/>
        <v>理论研究</v>
      </c>
      <c r="L54" t="str">
        <f>"语言文化;相同;差异"</f>
        <v>语言文化;相同;差异</v>
      </c>
      <c r="M54" t="str">
        <f>"现场答辩"</f>
        <v>现场答辩</v>
      </c>
      <c r="N54" t="str">
        <f t="shared" ref="N54:N56" si="81">"审核通过"</f>
        <v>审核通过</v>
      </c>
      <c r="O54" t="str">
        <f>"陈丽兰"</f>
        <v>陈丽兰</v>
      </c>
      <c r="P54" t="str">
        <f>"2023-06-29 16:58"</f>
        <v>2023-06-29 16:58</v>
      </c>
      <c r="Q54" t="str">
        <f t="shared" ref="Q54:T54" si="82">"通过"</f>
        <v>通过</v>
      </c>
      <c r="R54" t="str">
        <f t="shared" si="82"/>
        <v>通过</v>
      </c>
      <c r="S54" t="str">
        <f t="shared" si="82"/>
        <v>通过</v>
      </c>
      <c r="T54" t="str">
        <f t="shared" si="82"/>
        <v>通过</v>
      </c>
    </row>
    <row r="55" spans="1:20">
      <c r="A55" t="str">
        <f>"蔡振豪"</f>
        <v>蔡振豪</v>
      </c>
      <c r="B55" t="str">
        <f>"2117311106001"</f>
        <v>2117311106001</v>
      </c>
      <c r="C55" t="str">
        <f>"电气21022"</f>
        <v>电气21022</v>
      </c>
      <c r="D55" t="str">
        <f t="shared" si="60"/>
        <v>2021</v>
      </c>
      <c r="E55" t="str">
        <f t="shared" si="0"/>
        <v>东莞电研院</v>
      </c>
      <c r="F55" t="str">
        <f t="shared" si="1"/>
        <v>专升本</v>
      </c>
      <c r="G55" t="str">
        <f>"电气工程及其自动化"</f>
        <v>电气工程及其自动化</v>
      </c>
      <c r="H55" t="str">
        <f t="shared" si="64"/>
        <v>业余</v>
      </c>
      <c r="I55" t="str">
        <f>"蔡宗朝"</f>
        <v>蔡宗朝</v>
      </c>
      <c r="J55" t="str">
        <f>"基于PLC的自动售货机的设计"</f>
        <v>基于PLC的自动售货机的设计</v>
      </c>
      <c r="K55" t="str">
        <f>"PLC自动售货机"</f>
        <v>PLC自动售货机</v>
      </c>
      <c r="L55" t="str">
        <f>"PLC;自动售货机;设计"</f>
        <v>PLC;自动售货机;设计</v>
      </c>
      <c r="M55" t="str">
        <f>"书面答辩"</f>
        <v>书面答辩</v>
      </c>
      <c r="N55" t="str">
        <f t="shared" si="81"/>
        <v>审核通过</v>
      </c>
      <c r="O55" t="str">
        <f>"蔡宗朝"</f>
        <v>蔡宗朝</v>
      </c>
      <c r="P55" t="str">
        <f>"2023-06-30 11:59"</f>
        <v>2023-06-30 11:59</v>
      </c>
      <c r="Q55" t="str">
        <f t="shared" ref="Q55:T55" si="83">"通过"</f>
        <v>通过</v>
      </c>
      <c r="R55" t="str">
        <f t="shared" si="83"/>
        <v>通过</v>
      </c>
      <c r="S55" t="str">
        <f t="shared" si="83"/>
        <v>通过</v>
      </c>
      <c r="T55" t="str">
        <f t="shared" si="83"/>
        <v>通过</v>
      </c>
    </row>
    <row r="56" spans="1:20">
      <c r="A56" t="str">
        <f>"李永忠"</f>
        <v>李永忠</v>
      </c>
      <c r="B56" t="str">
        <f>"2117311106005"</f>
        <v>2117311106005</v>
      </c>
      <c r="C56" t="str">
        <f>"电气21022"</f>
        <v>电气21022</v>
      </c>
      <c r="D56" t="str">
        <f t="shared" si="60"/>
        <v>2021</v>
      </c>
      <c r="E56" t="str">
        <f t="shared" si="0"/>
        <v>东莞电研院</v>
      </c>
      <c r="F56" t="str">
        <f t="shared" si="1"/>
        <v>专升本</v>
      </c>
      <c r="G56" t="str">
        <f>"电气工程及其自动化"</f>
        <v>电气工程及其自动化</v>
      </c>
      <c r="H56" t="str">
        <f t="shared" si="64"/>
        <v>业余</v>
      </c>
      <c r="I56" t="str">
        <f>"蔡宗朝"</f>
        <v>蔡宗朝</v>
      </c>
      <c r="J56" t="str">
        <f>"降低线路损耗的方法及措施"</f>
        <v>降低线路损耗的方法及措施</v>
      </c>
      <c r="K56" t="str">
        <f>"线路损耗"</f>
        <v>线路损耗</v>
      </c>
      <c r="L56" t="str">
        <f>"降低线路损耗;方法;措施"</f>
        <v>降低线路损耗;方法;措施</v>
      </c>
      <c r="M56" t="str">
        <f>"书面答辩"</f>
        <v>书面答辩</v>
      </c>
      <c r="N56" t="str">
        <f t="shared" si="81"/>
        <v>审核通过</v>
      </c>
      <c r="O56" t="str">
        <f>"蔡宗朝"</f>
        <v>蔡宗朝</v>
      </c>
      <c r="P56" t="str">
        <f>"2023-06-30 11:59"</f>
        <v>2023-06-30 11:59</v>
      </c>
      <c r="Q56" t="str">
        <f t="shared" ref="Q56:T56" si="84">"通过"</f>
        <v>通过</v>
      </c>
      <c r="R56" t="str">
        <f t="shared" si="84"/>
        <v>通过</v>
      </c>
      <c r="S56" t="str">
        <f t="shared" si="84"/>
        <v>通过</v>
      </c>
      <c r="T56" t="str">
        <f t="shared" si="84"/>
        <v>通过</v>
      </c>
    </row>
    <row r="57" spans="1:20">
      <c r="A57" t="str">
        <f>"邬国华"</f>
        <v>邬国华</v>
      </c>
      <c r="B57" t="str">
        <f>"2117311106009"</f>
        <v>2117311106009</v>
      </c>
      <c r="C57" t="str">
        <f>"电气21022"</f>
        <v>电气21022</v>
      </c>
      <c r="D57" t="str">
        <f t="shared" si="60"/>
        <v>2021</v>
      </c>
      <c r="E57" t="str">
        <f t="shared" si="0"/>
        <v>东莞电研院</v>
      </c>
      <c r="F57" t="str">
        <f t="shared" si="1"/>
        <v>专升本</v>
      </c>
      <c r="G57" t="str">
        <f>"电气工程及其自动化"</f>
        <v>电气工程及其自动化</v>
      </c>
      <c r="H57" t="str">
        <f t="shared" si="64"/>
        <v>业余</v>
      </c>
      <c r="I57" t="str">
        <f>"蔡宗朝"</f>
        <v>蔡宗朝</v>
      </c>
      <c r="J57" t="str">
        <f>"配网自动化相关技术的研究"</f>
        <v>配网自动化相关技术的研究</v>
      </c>
      <c r="K57" t="str">
        <f>"配网自动化"</f>
        <v>配网自动化</v>
      </c>
      <c r="L57" t="str">
        <f>"配网;自动化;技术研究"</f>
        <v>配网;自动化;技术研究</v>
      </c>
      <c r="M57" t="str">
        <f>"书面答辩"</f>
        <v>书面答辩</v>
      </c>
      <c r="N57" t="str">
        <f t="shared" ref="N57:N60" si="85">"审核通过"</f>
        <v>审核通过</v>
      </c>
      <c r="O57" t="str">
        <f>"蔡宗朝"</f>
        <v>蔡宗朝</v>
      </c>
      <c r="P57" t="str">
        <f>"2023-06-30 12:00"</f>
        <v>2023-06-30 12:00</v>
      </c>
      <c r="Q57" t="str">
        <f t="shared" ref="Q57:T57" si="86">"通过"</f>
        <v>通过</v>
      </c>
      <c r="R57" t="str">
        <f t="shared" si="86"/>
        <v>通过</v>
      </c>
      <c r="S57" t="str">
        <f t="shared" si="86"/>
        <v>通过</v>
      </c>
      <c r="T57" t="str">
        <f t="shared" si="86"/>
        <v>通过</v>
      </c>
    </row>
    <row r="58" spans="1:20">
      <c r="A58" t="str">
        <f>"杨金邦"</f>
        <v>杨金邦</v>
      </c>
      <c r="B58" t="str">
        <f>"2117311106011"</f>
        <v>2117311106011</v>
      </c>
      <c r="C58" t="str">
        <f>"电气21022"</f>
        <v>电气21022</v>
      </c>
      <c r="D58" t="str">
        <f t="shared" si="60"/>
        <v>2021</v>
      </c>
      <c r="E58" t="str">
        <f t="shared" si="0"/>
        <v>东莞电研院</v>
      </c>
      <c r="F58" t="str">
        <f t="shared" si="1"/>
        <v>专升本</v>
      </c>
      <c r="G58" t="str">
        <f>"电气工程及其自动化"</f>
        <v>电气工程及其自动化</v>
      </c>
      <c r="H58" t="str">
        <f t="shared" si="64"/>
        <v>业余</v>
      </c>
      <c r="I58" t="str">
        <f>"蔡宗朝"</f>
        <v>蔡宗朝</v>
      </c>
      <c r="J58" t="str">
        <f>"智能电网发展应用及关键技术问题研究"</f>
        <v>智能电网发展应用及关键技术问题研究</v>
      </c>
      <c r="K58" t="str">
        <f>"智能电网发展应用"</f>
        <v>智能电网发展应用</v>
      </c>
      <c r="L58" t="str">
        <f>"智能电网;技术;发展"</f>
        <v>智能电网;技术;发展</v>
      </c>
      <c r="M58" t="str">
        <f>"书面答辩"</f>
        <v>书面答辩</v>
      </c>
      <c r="N58" t="str">
        <f t="shared" si="85"/>
        <v>审核通过</v>
      </c>
      <c r="O58" t="str">
        <f>"蔡宗朝"</f>
        <v>蔡宗朝</v>
      </c>
      <c r="P58" t="str">
        <f>"2023-06-28 09:01"</f>
        <v>2023-06-28 09:01</v>
      </c>
      <c r="Q58" t="str">
        <f t="shared" ref="Q58:T58" si="87">"通过"</f>
        <v>通过</v>
      </c>
      <c r="R58" t="str">
        <f t="shared" si="87"/>
        <v>通过</v>
      </c>
      <c r="S58" t="str">
        <f t="shared" si="87"/>
        <v>通过</v>
      </c>
      <c r="T58" t="str">
        <f t="shared" si="87"/>
        <v>通过</v>
      </c>
    </row>
    <row r="59" spans="1:20">
      <c r="A59" t="str">
        <f>"陈程"</f>
        <v>陈程</v>
      </c>
      <c r="B59" t="str">
        <f>"2117311111001"</f>
        <v>2117311111001</v>
      </c>
      <c r="C59" t="str">
        <f>"人力21145"</f>
        <v>人力21145</v>
      </c>
      <c r="D59" t="str">
        <f t="shared" si="60"/>
        <v>2021</v>
      </c>
      <c r="E59" t="str">
        <f t="shared" si="0"/>
        <v>东莞电研院</v>
      </c>
      <c r="F59" t="str">
        <f t="shared" si="1"/>
        <v>专升本</v>
      </c>
      <c r="G59" t="str">
        <f>"人力资源管理"</f>
        <v>人力资源管理</v>
      </c>
      <c r="H59" t="str">
        <f t="shared" si="64"/>
        <v>业余</v>
      </c>
      <c r="I59" t="str">
        <f>"胡腊香"</f>
        <v>胡腊香</v>
      </c>
      <c r="J59" t="str">
        <f>"人力资源管理中的人才培训创新策略"</f>
        <v>人力资源管理中的人才培训创新策略</v>
      </c>
      <c r="K59" t="str">
        <f>"理论研究"</f>
        <v>理论研究</v>
      </c>
      <c r="L59" t="str">
        <f>"人力资源;人才培训;创新"</f>
        <v>人力资源;人才培训;创新</v>
      </c>
      <c r="M59" t="str">
        <f>"现场答辩"</f>
        <v>现场答辩</v>
      </c>
      <c r="N59" t="str">
        <f t="shared" si="85"/>
        <v>审核通过</v>
      </c>
      <c r="O59" t="str">
        <f>"胡腊香"</f>
        <v>胡腊香</v>
      </c>
      <c r="P59" t="str">
        <f>"2023-06-30 18:19"</f>
        <v>2023-06-30 18:19</v>
      </c>
      <c r="Q59" t="str">
        <f t="shared" ref="Q59:T59" si="88">"通过"</f>
        <v>通过</v>
      </c>
      <c r="R59" t="str">
        <f t="shared" si="88"/>
        <v>通过</v>
      </c>
      <c r="S59" t="str">
        <f t="shared" si="88"/>
        <v>通过</v>
      </c>
      <c r="T59" t="str">
        <f t="shared" si="88"/>
        <v>通过</v>
      </c>
    </row>
    <row r="60" spans="1:20">
      <c r="A60" t="str">
        <f>"陈静敏"</f>
        <v>陈静敏</v>
      </c>
      <c r="B60" t="str">
        <f>"2117311111002"</f>
        <v>2117311111002</v>
      </c>
      <c r="C60" t="str">
        <f>"人力21145"</f>
        <v>人力21145</v>
      </c>
      <c r="D60" t="str">
        <f t="shared" si="60"/>
        <v>2021</v>
      </c>
      <c r="E60" t="str">
        <f t="shared" si="0"/>
        <v>东莞电研院</v>
      </c>
      <c r="F60" t="str">
        <f t="shared" si="1"/>
        <v>专升本</v>
      </c>
      <c r="G60" t="str">
        <f>"人力资源管理"</f>
        <v>人力资源管理</v>
      </c>
      <c r="H60" t="str">
        <f t="shared" si="64"/>
        <v>业余</v>
      </c>
      <c r="I60" t="str">
        <f>"黄牧乾"</f>
        <v>黄牧乾</v>
      </c>
      <c r="J60" t="str">
        <f>"A公司中层管理人员绩效考核问题研究"</f>
        <v>A公司中层管理人员绩效考核问题研究</v>
      </c>
      <c r="K60" t="str">
        <f>"人员绩效考核"</f>
        <v>人员绩效考核</v>
      </c>
      <c r="L60" t="str">
        <f>"公司中层;管理人员;绩效考核"</f>
        <v>公司中层;管理人员;绩效考核</v>
      </c>
      <c r="M60" t="str">
        <f>"书面答辩"</f>
        <v>书面答辩</v>
      </c>
      <c r="N60" t="str">
        <f t="shared" si="85"/>
        <v>审核通过</v>
      </c>
      <c r="O60" t="str">
        <f>"黄牧乾"</f>
        <v>黄牧乾</v>
      </c>
      <c r="P60" t="str">
        <f>"2023-06-30 14:24"</f>
        <v>2023-06-30 14:24</v>
      </c>
      <c r="Q60" t="str">
        <f t="shared" ref="Q60:T60" si="89">"通过"</f>
        <v>通过</v>
      </c>
      <c r="R60" t="str">
        <f t="shared" si="89"/>
        <v>通过</v>
      </c>
      <c r="S60" t="str">
        <f t="shared" si="89"/>
        <v>通过</v>
      </c>
      <c r="T60" t="str">
        <f t="shared" si="89"/>
        <v>通过</v>
      </c>
    </row>
    <row r="61" spans="1:20">
      <c r="A61" t="str">
        <f>"黄敏耀"</f>
        <v>黄敏耀</v>
      </c>
      <c r="B61" t="str">
        <f>"2117311114001"</f>
        <v>2117311114001</v>
      </c>
      <c r="C61" t="str">
        <f>"电商21036"</f>
        <v>电商21036</v>
      </c>
      <c r="D61" t="str">
        <f t="shared" si="60"/>
        <v>2021</v>
      </c>
      <c r="E61" t="str">
        <f t="shared" si="0"/>
        <v>东莞电研院</v>
      </c>
      <c r="F61" t="str">
        <f t="shared" si="1"/>
        <v>专升本</v>
      </c>
      <c r="G61" t="str">
        <f>"电子商务"</f>
        <v>电子商务</v>
      </c>
      <c r="H61" t="str">
        <f t="shared" si="64"/>
        <v>业余</v>
      </c>
      <c r="I61" t="str">
        <f>"戴锡伟"</f>
        <v>戴锡伟</v>
      </c>
      <c r="J61" t="str">
        <f>"电子商务企业盈利模式分析—以直播为例"</f>
        <v>电子商务企业盈利模式分析—以直播为例</v>
      </c>
      <c r="K61" t="str">
        <f>"理论研究"</f>
        <v>理论研究</v>
      </c>
      <c r="L61" t="str">
        <f>"盈利模式;直播电商;小红书"</f>
        <v>盈利模式;直播电商;小红书</v>
      </c>
      <c r="M61" t="str">
        <f>"书面答辩"</f>
        <v>书面答辩</v>
      </c>
      <c r="N61" t="str">
        <f t="shared" ref="N61:N68" si="90">"审核通过"</f>
        <v>审核通过</v>
      </c>
      <c r="O61" t="str">
        <f>"戴锡伟"</f>
        <v>戴锡伟</v>
      </c>
      <c r="P61" t="str">
        <f>"2023-06-29 17:00"</f>
        <v>2023-06-29 17:00</v>
      </c>
      <c r="Q61" t="str">
        <f t="shared" ref="Q61:T61" si="91">"通过"</f>
        <v>通过</v>
      </c>
      <c r="R61" t="str">
        <f t="shared" si="91"/>
        <v>通过</v>
      </c>
      <c r="S61" t="str">
        <f t="shared" si="91"/>
        <v>通过</v>
      </c>
      <c r="T61" t="str">
        <f t="shared" si="91"/>
        <v>通过</v>
      </c>
    </row>
    <row r="62" spans="1:20">
      <c r="A62" t="str">
        <f>"林德彬"</f>
        <v>林德彬</v>
      </c>
      <c r="B62" t="str">
        <f>"2117311115001"</f>
        <v>2117311115001</v>
      </c>
      <c r="C62" t="str">
        <f>"视觉传达21158"</f>
        <v>视觉传达21158</v>
      </c>
      <c r="D62" t="str">
        <f t="shared" si="60"/>
        <v>2021</v>
      </c>
      <c r="E62" t="str">
        <f t="shared" si="0"/>
        <v>东莞电研院</v>
      </c>
      <c r="F62" t="str">
        <f t="shared" si="1"/>
        <v>专升本</v>
      </c>
      <c r="G62" t="str">
        <f>"视觉传达设计"</f>
        <v>视觉传达设计</v>
      </c>
      <c r="H62" t="str">
        <f t="shared" si="64"/>
        <v>业余</v>
      </c>
      <c r="I62" t="str">
        <f>"庄伟"</f>
        <v>庄伟</v>
      </c>
      <c r="J62" t="str">
        <f>"网上购物系统的设计与实现"</f>
        <v>网上购物系统的设计与实现</v>
      </c>
      <c r="K62" t="str">
        <f>"理论研究"</f>
        <v>理论研究</v>
      </c>
      <c r="L62" t="str">
        <f>"购物系统;设计;网上商城"</f>
        <v>购物系统;设计;网上商城</v>
      </c>
      <c r="M62" t="str">
        <f>"书面答辩"</f>
        <v>书面答辩</v>
      </c>
      <c r="N62" t="str">
        <f t="shared" si="90"/>
        <v>审核通过</v>
      </c>
      <c r="O62" t="str">
        <f>"庄伟"</f>
        <v>庄伟</v>
      </c>
      <c r="P62" t="str">
        <f>"2023-06-29 17:14"</f>
        <v>2023-06-29 17:14</v>
      </c>
      <c r="Q62" t="str">
        <f t="shared" ref="Q62:T62" si="92">"通过"</f>
        <v>通过</v>
      </c>
      <c r="R62" t="str">
        <f t="shared" si="92"/>
        <v>通过</v>
      </c>
      <c r="S62" t="str">
        <f t="shared" si="92"/>
        <v>通过</v>
      </c>
      <c r="T62" t="str">
        <f t="shared" si="92"/>
        <v>通过</v>
      </c>
    </row>
    <row r="63" spans="1:20">
      <c r="A63" t="str">
        <f>"丘清云"</f>
        <v>丘清云</v>
      </c>
      <c r="B63" t="str">
        <f>"2117311115005"</f>
        <v>2117311115005</v>
      </c>
      <c r="C63" t="str">
        <f>"视觉传达21158"</f>
        <v>视觉传达21158</v>
      </c>
      <c r="D63" t="str">
        <f t="shared" si="60"/>
        <v>2021</v>
      </c>
      <c r="E63" t="str">
        <f t="shared" si="0"/>
        <v>东莞电研院</v>
      </c>
      <c r="F63" t="str">
        <f t="shared" si="1"/>
        <v>专升本</v>
      </c>
      <c r="G63" t="str">
        <f>"视觉传达设计"</f>
        <v>视觉传达设计</v>
      </c>
      <c r="H63" t="str">
        <f t="shared" si="64"/>
        <v>业余</v>
      </c>
      <c r="I63" t="str">
        <f>"庄伟"</f>
        <v>庄伟</v>
      </c>
      <c r="J63" t="str">
        <f>"中国传统纹样在现代平面广告设计中的应用研究"</f>
        <v>中国传统纹样在现代平面广告设计中的应用研究</v>
      </c>
      <c r="K63" t="str">
        <f>"应用研究"</f>
        <v>应用研究</v>
      </c>
      <c r="L63" t="str">
        <f>"中国传统纹样;现代平面广告设计;应用"</f>
        <v>中国传统纹样;现代平面广告设计;应用</v>
      </c>
      <c r="M63" t="str">
        <f>"现场答辩"</f>
        <v>现场答辩</v>
      </c>
      <c r="N63" t="str">
        <f t="shared" si="90"/>
        <v>审核通过</v>
      </c>
      <c r="O63" t="str">
        <f>"庄伟"</f>
        <v>庄伟</v>
      </c>
      <c r="P63" t="str">
        <f>"2023-06-29 17:15"</f>
        <v>2023-06-29 17:15</v>
      </c>
      <c r="Q63" t="str">
        <f t="shared" ref="Q63:T63" si="93">"通过"</f>
        <v>通过</v>
      </c>
      <c r="R63" t="str">
        <f t="shared" si="93"/>
        <v>通过</v>
      </c>
      <c r="S63" t="str">
        <f t="shared" si="93"/>
        <v>通过</v>
      </c>
      <c r="T63" t="str">
        <f t="shared" si="93"/>
        <v>通过</v>
      </c>
    </row>
    <row r="64" spans="1:20">
      <c r="A64" t="str">
        <f>"冯烟华"</f>
        <v>冯烟华</v>
      </c>
      <c r="B64" t="str">
        <f>"2117312117006"</f>
        <v>2117312117006</v>
      </c>
      <c r="C64" t="str">
        <f>"工管21210"</f>
        <v>工管21210</v>
      </c>
      <c r="D64" t="str">
        <f t="shared" si="60"/>
        <v>2021</v>
      </c>
      <c r="E64" t="str">
        <f t="shared" si="0"/>
        <v>东莞电研院</v>
      </c>
      <c r="F64" t="str">
        <f t="shared" si="1"/>
        <v>专升本</v>
      </c>
      <c r="G64" t="str">
        <f>"工商管理"</f>
        <v>工商管理</v>
      </c>
      <c r="H64" t="str">
        <f t="shared" ref="H64:H72" si="94">"函授"</f>
        <v>函授</v>
      </c>
      <c r="I64" t="str">
        <f>"刘鑫"</f>
        <v>刘鑫</v>
      </c>
      <c r="J64" t="str">
        <f>"论企业差异化营销策略"</f>
        <v>论企业差异化营销策略</v>
      </c>
      <c r="K64" t="str">
        <f>"理论研究"</f>
        <v>理论研究</v>
      </c>
      <c r="L64" t="str">
        <f>"差异化营销;营销策略;策略实施"</f>
        <v>差异化营销;营销策略;策略实施</v>
      </c>
      <c r="M64" t="str">
        <f t="shared" ref="M64:M72" si="95">"书面答辩"</f>
        <v>书面答辩</v>
      </c>
      <c r="N64" t="str">
        <f t="shared" si="90"/>
        <v>审核通过</v>
      </c>
      <c r="O64" t="str">
        <f>"刘鑫"</f>
        <v>刘鑫</v>
      </c>
      <c r="P64" t="str">
        <f>"2023-06-29 17:05"</f>
        <v>2023-06-29 17:05</v>
      </c>
      <c r="Q64" t="str">
        <f t="shared" ref="Q64:T64" si="96">"通过"</f>
        <v>通过</v>
      </c>
      <c r="R64" t="str">
        <f t="shared" si="96"/>
        <v>通过</v>
      </c>
      <c r="S64" t="str">
        <f t="shared" si="96"/>
        <v>通过</v>
      </c>
      <c r="T64" t="str">
        <f t="shared" si="96"/>
        <v>通过</v>
      </c>
    </row>
    <row r="65" spans="1:20">
      <c r="A65" t="str">
        <f>"苏家豪"</f>
        <v>苏家豪</v>
      </c>
      <c r="B65" t="str">
        <f>"2117312117019"</f>
        <v>2117312117019</v>
      </c>
      <c r="C65" t="str">
        <f>"工管21210"</f>
        <v>工管21210</v>
      </c>
      <c r="D65" t="str">
        <f t="shared" si="60"/>
        <v>2021</v>
      </c>
      <c r="E65" t="str">
        <f t="shared" si="0"/>
        <v>东莞电研院</v>
      </c>
      <c r="F65" t="str">
        <f t="shared" si="1"/>
        <v>专升本</v>
      </c>
      <c r="G65" t="str">
        <f>"工商管理"</f>
        <v>工商管理</v>
      </c>
      <c r="H65" t="str">
        <f t="shared" si="94"/>
        <v>函授</v>
      </c>
      <c r="I65" t="str">
        <f>"刘鑫"</f>
        <v>刘鑫</v>
      </c>
      <c r="J65" t="str">
        <f>"A公司人才流失原因和对策"</f>
        <v>A公司人才流失原因和对策</v>
      </c>
      <c r="K65" t="str">
        <f>"人才流失"</f>
        <v>人才流失</v>
      </c>
      <c r="L65" t="str">
        <f>"公司人才;人才流失;原因和对策"</f>
        <v>公司人才;人才流失;原因和对策</v>
      </c>
      <c r="M65" t="str">
        <f t="shared" si="95"/>
        <v>书面答辩</v>
      </c>
      <c r="N65" t="str">
        <f t="shared" si="90"/>
        <v>审核通过</v>
      </c>
      <c r="O65" t="str">
        <f>"刘鑫"</f>
        <v>刘鑫</v>
      </c>
      <c r="P65" t="str">
        <f>"2023-06-30 14:25"</f>
        <v>2023-06-30 14:25</v>
      </c>
      <c r="Q65" t="str">
        <f t="shared" ref="Q65:T65" si="97">"通过"</f>
        <v>通过</v>
      </c>
      <c r="R65" t="str">
        <f t="shared" si="97"/>
        <v>通过</v>
      </c>
      <c r="S65" t="str">
        <f t="shared" si="97"/>
        <v>通过</v>
      </c>
      <c r="T65" t="str">
        <f t="shared" si="97"/>
        <v>通过</v>
      </c>
    </row>
    <row r="66" spans="1:20">
      <c r="A66" t="str">
        <f>"邓志高"</f>
        <v>邓志高</v>
      </c>
      <c r="B66" t="str">
        <f>"2117312118005"</f>
        <v>2117312118005</v>
      </c>
      <c r="C66" t="str">
        <f t="shared" ref="C66:C74" si="98">"行管21223"</f>
        <v>行管21223</v>
      </c>
      <c r="D66" t="str">
        <f t="shared" si="60"/>
        <v>2021</v>
      </c>
      <c r="E66" t="str">
        <f t="shared" ref="E66:E79" si="99">"东莞电研院"</f>
        <v>东莞电研院</v>
      </c>
      <c r="F66" t="str">
        <f t="shared" ref="F66:F79" si="100">"专升本"</f>
        <v>专升本</v>
      </c>
      <c r="G66" t="str">
        <f t="shared" ref="G66:G74" si="101">"行政管理"</f>
        <v>行政管理</v>
      </c>
      <c r="H66" t="str">
        <f t="shared" si="94"/>
        <v>函授</v>
      </c>
      <c r="I66" t="str">
        <f>"刘文兰"</f>
        <v>刘文兰</v>
      </c>
      <c r="J66" t="str">
        <f>"中国式现代化管理研究"</f>
        <v>中国式现代化管理研究</v>
      </c>
      <c r="K66" t="str">
        <f>"理论研究"</f>
        <v>理论研究</v>
      </c>
      <c r="L66" t="str">
        <f>"经济发展;民生保障;法制社会;文化传承;教育体系建设"</f>
        <v>经济发展;民生保障;法制社会;文化传承;教育体系建设</v>
      </c>
      <c r="M66" t="str">
        <f t="shared" si="95"/>
        <v>书面答辩</v>
      </c>
      <c r="N66" t="str">
        <f t="shared" si="90"/>
        <v>审核通过</v>
      </c>
      <c r="O66" t="str">
        <f>"刘文兰"</f>
        <v>刘文兰</v>
      </c>
      <c r="P66" t="str">
        <f>"2023-06-30 18:20"</f>
        <v>2023-06-30 18:20</v>
      </c>
      <c r="Q66" t="str">
        <f t="shared" ref="Q66:T66" si="102">"通过"</f>
        <v>通过</v>
      </c>
      <c r="R66" t="str">
        <f t="shared" si="102"/>
        <v>通过</v>
      </c>
      <c r="S66" t="str">
        <f t="shared" si="102"/>
        <v>通过</v>
      </c>
      <c r="T66" t="str">
        <f t="shared" si="102"/>
        <v>通过</v>
      </c>
    </row>
    <row r="67" spans="1:20">
      <c r="A67" t="str">
        <f>"黄雪辉"</f>
        <v>黄雪辉</v>
      </c>
      <c r="B67" t="str">
        <f>"2117312118013"</f>
        <v>2117312118013</v>
      </c>
      <c r="C67" t="str">
        <f t="shared" si="98"/>
        <v>行管21223</v>
      </c>
      <c r="D67" t="str">
        <f t="shared" si="60"/>
        <v>2021</v>
      </c>
      <c r="E67" t="str">
        <f t="shared" si="99"/>
        <v>东莞电研院</v>
      </c>
      <c r="F67" t="str">
        <f t="shared" si="100"/>
        <v>专升本</v>
      </c>
      <c r="G67" t="str">
        <f t="shared" si="101"/>
        <v>行政管理</v>
      </c>
      <c r="H67" t="str">
        <f t="shared" si="94"/>
        <v>函授</v>
      </c>
      <c r="I67" t="str">
        <f>"刘文兰"</f>
        <v>刘文兰</v>
      </c>
      <c r="J67" t="str">
        <f>"公务员晋升制度问题与对策探析"</f>
        <v>公务员晋升制度问题与对策探析</v>
      </c>
      <c r="K67" t="str">
        <f>"应用研究"</f>
        <v>应用研究</v>
      </c>
      <c r="L67" t="str">
        <f>"公务员;晋升;对策"</f>
        <v>公务员;晋升;对策</v>
      </c>
      <c r="M67" t="str">
        <f t="shared" si="95"/>
        <v>书面答辩</v>
      </c>
      <c r="N67" t="str">
        <f t="shared" si="90"/>
        <v>审核通过</v>
      </c>
      <c r="O67" t="str">
        <f>"刘文兰"</f>
        <v>刘文兰</v>
      </c>
      <c r="P67" t="str">
        <f>"2023-06-30 18:21"</f>
        <v>2023-06-30 18:21</v>
      </c>
      <c r="Q67" t="str">
        <f t="shared" ref="Q67:T67" si="103">"通过"</f>
        <v>通过</v>
      </c>
      <c r="R67" t="str">
        <f t="shared" si="103"/>
        <v>通过</v>
      </c>
      <c r="S67" t="str">
        <f t="shared" si="103"/>
        <v>通过</v>
      </c>
      <c r="T67" t="str">
        <f t="shared" si="103"/>
        <v>通过</v>
      </c>
    </row>
    <row r="68" spans="1:20">
      <c r="A68" t="str">
        <f>"李华"</f>
        <v>李华</v>
      </c>
      <c r="B68" t="str">
        <f>"2117312118017"</f>
        <v>2117312118017</v>
      </c>
      <c r="C68" t="str">
        <f t="shared" si="98"/>
        <v>行管21223</v>
      </c>
      <c r="D68" t="str">
        <f t="shared" si="60"/>
        <v>2021</v>
      </c>
      <c r="E68" t="str">
        <f t="shared" si="99"/>
        <v>东莞电研院</v>
      </c>
      <c r="F68" t="str">
        <f t="shared" si="100"/>
        <v>专升本</v>
      </c>
      <c r="G68" t="str">
        <f t="shared" si="101"/>
        <v>行政管理</v>
      </c>
      <c r="H68" t="str">
        <f t="shared" si="94"/>
        <v>函授</v>
      </c>
      <c r="I68" t="str">
        <f>"刘文兰"</f>
        <v>刘文兰</v>
      </c>
      <c r="J68" t="str">
        <f>"行政沟通中的障碍及对策研究"</f>
        <v>行政沟通中的障碍及对策研究</v>
      </c>
      <c r="K68" t="str">
        <f>"应用研究"</f>
        <v>应用研究</v>
      </c>
      <c r="L68" t="str">
        <f>"沟通;行政沟通;沟通障碍;对策研究"</f>
        <v>沟通;行政沟通;沟通障碍;对策研究</v>
      </c>
      <c r="M68" t="str">
        <f t="shared" si="95"/>
        <v>书面答辩</v>
      </c>
      <c r="N68" t="str">
        <f t="shared" si="90"/>
        <v>审核通过</v>
      </c>
      <c r="O68" t="str">
        <f>"刘文兰"</f>
        <v>刘文兰</v>
      </c>
      <c r="P68" t="str">
        <f>"2023-06-30 18:22"</f>
        <v>2023-06-30 18:22</v>
      </c>
      <c r="Q68" t="str">
        <f t="shared" ref="Q68:T68" si="104">"通过"</f>
        <v>通过</v>
      </c>
      <c r="R68" t="str">
        <f t="shared" si="104"/>
        <v>通过</v>
      </c>
      <c r="S68" t="str">
        <f t="shared" si="104"/>
        <v>通过</v>
      </c>
      <c r="T68" t="str">
        <f t="shared" si="104"/>
        <v>通过</v>
      </c>
    </row>
    <row r="69" spans="1:20">
      <c r="A69" t="str">
        <f>"林雪英"</f>
        <v>林雪英</v>
      </c>
      <c r="B69" t="str">
        <f>"2117312118021"</f>
        <v>2117312118021</v>
      </c>
      <c r="C69" t="str">
        <f t="shared" si="98"/>
        <v>行管21223</v>
      </c>
      <c r="D69" t="str">
        <f t="shared" si="60"/>
        <v>2021</v>
      </c>
      <c r="E69" t="str">
        <f t="shared" si="99"/>
        <v>东莞电研院</v>
      </c>
      <c r="F69" t="str">
        <f t="shared" si="100"/>
        <v>专升本</v>
      </c>
      <c r="G69" t="str">
        <f t="shared" si="101"/>
        <v>行政管理</v>
      </c>
      <c r="H69" t="str">
        <f t="shared" si="94"/>
        <v>函授</v>
      </c>
      <c r="I69" t="str">
        <f t="shared" ref="I69:I74" si="105">"陈红"</f>
        <v>陈红</v>
      </c>
      <c r="J69" t="str">
        <f>"疫情防控过程当中民生物资保障问题研究"</f>
        <v>疫情防控过程当中民生物资保障问题研究</v>
      </c>
      <c r="K69" t="str">
        <f>"疫情民生物资保障"</f>
        <v>疫情民生物资保障</v>
      </c>
      <c r="L69" t="str">
        <f>"疫情防控;民生物资;保障"</f>
        <v>疫情防控;民生物资;保障</v>
      </c>
      <c r="M69" t="str">
        <f t="shared" si="95"/>
        <v>书面答辩</v>
      </c>
      <c r="N69" t="str">
        <f t="shared" ref="N69:N72" si="106">"审核通过"</f>
        <v>审核通过</v>
      </c>
      <c r="O69" t="str">
        <f t="shared" ref="O69:O74" si="107">"陈红"</f>
        <v>陈红</v>
      </c>
      <c r="P69" t="str">
        <f>"2023-06-30 14:26"</f>
        <v>2023-06-30 14:26</v>
      </c>
      <c r="Q69" t="str">
        <f t="shared" ref="Q69:T69" si="108">"通过"</f>
        <v>通过</v>
      </c>
      <c r="R69" t="str">
        <f t="shared" si="108"/>
        <v>通过</v>
      </c>
      <c r="S69" t="str">
        <f t="shared" si="108"/>
        <v>通过</v>
      </c>
      <c r="T69" t="str">
        <f t="shared" si="108"/>
        <v>通过</v>
      </c>
    </row>
    <row r="70" spans="1:20">
      <c r="A70" t="str">
        <f>"潘昭"</f>
        <v>潘昭</v>
      </c>
      <c r="B70" t="str">
        <f>"2117312118025"</f>
        <v>2117312118025</v>
      </c>
      <c r="C70" t="str">
        <f t="shared" si="98"/>
        <v>行管21223</v>
      </c>
      <c r="D70" t="str">
        <f t="shared" si="60"/>
        <v>2021</v>
      </c>
      <c r="E70" t="str">
        <f t="shared" si="99"/>
        <v>东莞电研院</v>
      </c>
      <c r="F70" t="str">
        <f t="shared" si="100"/>
        <v>专升本</v>
      </c>
      <c r="G70" t="str">
        <f t="shared" si="101"/>
        <v>行政管理</v>
      </c>
      <c r="H70" t="str">
        <f t="shared" si="94"/>
        <v>函授</v>
      </c>
      <c r="I70" t="str">
        <f t="shared" si="105"/>
        <v>陈红</v>
      </c>
      <c r="J70" t="str">
        <f>"城市社区管理中存在的问题及对策研究"</f>
        <v>城市社区管理中存在的问题及对策研究</v>
      </c>
      <c r="K70" t="str">
        <f>"城市社区管理"</f>
        <v>城市社区管理</v>
      </c>
      <c r="L70" t="str">
        <f>"城市社区;管理问题;解决对策"</f>
        <v>城市社区;管理问题;解决对策</v>
      </c>
      <c r="M70" t="str">
        <f t="shared" si="95"/>
        <v>书面答辩</v>
      </c>
      <c r="N70" t="str">
        <f t="shared" si="106"/>
        <v>审核通过</v>
      </c>
      <c r="O70" t="str">
        <f t="shared" si="107"/>
        <v>陈红</v>
      </c>
      <c r="P70" t="str">
        <f>"2023-06-30 14:26"</f>
        <v>2023-06-30 14:26</v>
      </c>
      <c r="Q70" t="str">
        <f t="shared" ref="Q70:T70" si="109">"通过"</f>
        <v>通过</v>
      </c>
      <c r="R70" t="str">
        <f t="shared" si="109"/>
        <v>通过</v>
      </c>
      <c r="S70" t="str">
        <f t="shared" si="109"/>
        <v>通过</v>
      </c>
      <c r="T70" t="str">
        <f t="shared" si="109"/>
        <v>通过</v>
      </c>
    </row>
    <row r="71" spans="1:20">
      <c r="A71" t="str">
        <f>"谭钊伟"</f>
        <v>谭钊伟</v>
      </c>
      <c r="B71" t="str">
        <f>"2117312118028"</f>
        <v>2117312118028</v>
      </c>
      <c r="C71" t="str">
        <f t="shared" si="98"/>
        <v>行管21223</v>
      </c>
      <c r="D71" t="str">
        <f t="shared" si="60"/>
        <v>2021</v>
      </c>
      <c r="E71" t="str">
        <f t="shared" si="99"/>
        <v>东莞电研院</v>
      </c>
      <c r="F71" t="str">
        <f t="shared" si="100"/>
        <v>专升本</v>
      </c>
      <c r="G71" t="str">
        <f t="shared" si="101"/>
        <v>行政管理</v>
      </c>
      <c r="H71" t="str">
        <f t="shared" si="94"/>
        <v>函授</v>
      </c>
      <c r="I71" t="str">
        <f t="shared" si="105"/>
        <v>陈红</v>
      </c>
      <c r="J71" t="str">
        <f>"非政府组织运作的困境及对策研究"</f>
        <v>非政府组织运作的困境及对策研究</v>
      </c>
      <c r="K71" t="str">
        <f>"理论研究"</f>
        <v>理论研究</v>
      </c>
      <c r="L71" t="str">
        <f>"非政府组织;运作;困境;对策研究"</f>
        <v>非政府组织;运作;困境;对策研究</v>
      </c>
      <c r="M71" t="str">
        <f t="shared" si="95"/>
        <v>书面答辩</v>
      </c>
      <c r="N71" t="str">
        <f t="shared" si="106"/>
        <v>审核通过</v>
      </c>
      <c r="O71" t="str">
        <f t="shared" si="107"/>
        <v>陈红</v>
      </c>
      <c r="P71" t="str">
        <f>"2023-06-30 18:10"</f>
        <v>2023-06-30 18:10</v>
      </c>
      <c r="Q71" t="str">
        <f t="shared" ref="Q71:T71" si="110">"通过"</f>
        <v>通过</v>
      </c>
      <c r="R71" t="str">
        <f t="shared" si="110"/>
        <v>通过</v>
      </c>
      <c r="S71" t="str">
        <f t="shared" si="110"/>
        <v>通过</v>
      </c>
      <c r="T71" t="str">
        <f t="shared" si="110"/>
        <v>通过</v>
      </c>
    </row>
    <row r="72" spans="1:20">
      <c r="A72" t="str">
        <f>"伍倩妍"</f>
        <v>伍倩妍</v>
      </c>
      <c r="B72" t="str">
        <f>"2117312118031"</f>
        <v>2117312118031</v>
      </c>
      <c r="C72" t="str">
        <f t="shared" si="98"/>
        <v>行管21223</v>
      </c>
      <c r="D72" t="str">
        <f t="shared" si="60"/>
        <v>2021</v>
      </c>
      <c r="E72" t="str">
        <f t="shared" si="99"/>
        <v>东莞电研院</v>
      </c>
      <c r="F72" t="str">
        <f t="shared" si="100"/>
        <v>专升本</v>
      </c>
      <c r="G72" t="str">
        <f t="shared" si="101"/>
        <v>行政管理</v>
      </c>
      <c r="H72" t="str">
        <f t="shared" si="94"/>
        <v>函授</v>
      </c>
      <c r="I72" t="str">
        <f t="shared" si="105"/>
        <v>陈红</v>
      </c>
      <c r="J72" t="str">
        <f>"论疫情管理下有关体育活动的管理"</f>
        <v>论疫情管理下有关体育活动的管理</v>
      </c>
      <c r="K72" t="str">
        <f>"理论研究"</f>
        <v>理论研究</v>
      </c>
      <c r="L72" t="str">
        <f>"疫情;体育活动;管理"</f>
        <v>疫情;体育活动;管理</v>
      </c>
      <c r="M72" t="str">
        <f t="shared" si="95"/>
        <v>书面答辩</v>
      </c>
      <c r="N72" t="str">
        <f t="shared" si="106"/>
        <v>审核通过</v>
      </c>
      <c r="O72" t="str">
        <f t="shared" si="107"/>
        <v>陈红</v>
      </c>
      <c r="P72" t="str">
        <f>"2023-06-30 18:13"</f>
        <v>2023-06-30 18:13</v>
      </c>
      <c r="Q72" t="str">
        <f t="shared" ref="Q72:T72" si="111">"通过"</f>
        <v>通过</v>
      </c>
      <c r="R72" t="str">
        <f t="shared" si="111"/>
        <v>通过</v>
      </c>
      <c r="S72" t="str">
        <f t="shared" si="111"/>
        <v>通过</v>
      </c>
      <c r="T72" t="str">
        <f t="shared" si="111"/>
        <v>通过</v>
      </c>
    </row>
    <row r="73" spans="1:20">
      <c r="A73" t="str">
        <f>"张帮娣"</f>
        <v>张帮娣</v>
      </c>
      <c r="B73" t="str">
        <f>"2117312118036"</f>
        <v>2117312118036</v>
      </c>
      <c r="C73" t="str">
        <f t="shared" si="98"/>
        <v>行管21223</v>
      </c>
      <c r="D73" t="str">
        <f t="shared" si="60"/>
        <v>2021</v>
      </c>
      <c r="E73" t="str">
        <f t="shared" si="99"/>
        <v>东莞电研院</v>
      </c>
      <c r="F73" t="str">
        <f t="shared" si="100"/>
        <v>专升本</v>
      </c>
      <c r="G73" t="str">
        <f t="shared" si="101"/>
        <v>行政管理</v>
      </c>
      <c r="H73" t="str">
        <f t="shared" ref="H73:H79" si="112">"函授"</f>
        <v>函授</v>
      </c>
      <c r="I73" t="str">
        <f t="shared" si="105"/>
        <v>陈红</v>
      </c>
      <c r="J73" t="str">
        <f>"城市社区管理中存在的问题及对策研究"</f>
        <v>城市社区管理中存在的问题及对策研究</v>
      </c>
      <c r="K73" t="str">
        <f>"应用研究"</f>
        <v>应用研究</v>
      </c>
      <c r="L73" t="str">
        <f>"社区;居委会;对策;改革"</f>
        <v>社区;居委会;对策;改革</v>
      </c>
      <c r="M73" t="str">
        <f t="shared" ref="M73:M76" si="113">"书面答辩"</f>
        <v>书面答辩</v>
      </c>
      <c r="N73" t="str">
        <f t="shared" ref="N73:N79" si="114">"审核通过"</f>
        <v>审核通过</v>
      </c>
      <c r="O73" t="str">
        <f t="shared" si="107"/>
        <v>陈红</v>
      </c>
      <c r="P73" t="str">
        <f>"2023-06-30 18:13"</f>
        <v>2023-06-30 18:13</v>
      </c>
      <c r="Q73" t="str">
        <f t="shared" ref="Q73:T73" si="115">"通过"</f>
        <v>通过</v>
      </c>
      <c r="R73" t="str">
        <f t="shared" si="115"/>
        <v>通过</v>
      </c>
      <c r="S73" t="str">
        <f t="shared" si="115"/>
        <v>通过</v>
      </c>
      <c r="T73" t="str">
        <f t="shared" si="115"/>
        <v>通过</v>
      </c>
    </row>
    <row r="74" spans="1:20">
      <c r="A74" t="str">
        <f>"张惠敏"</f>
        <v>张惠敏</v>
      </c>
      <c r="B74" t="str">
        <f>"2117312118037"</f>
        <v>2117312118037</v>
      </c>
      <c r="C74" t="str">
        <f t="shared" si="98"/>
        <v>行管21223</v>
      </c>
      <c r="D74" t="str">
        <f t="shared" si="60"/>
        <v>2021</v>
      </c>
      <c r="E74" t="str">
        <f t="shared" si="99"/>
        <v>东莞电研院</v>
      </c>
      <c r="F74" t="str">
        <f t="shared" si="100"/>
        <v>专升本</v>
      </c>
      <c r="G74" t="str">
        <f t="shared" si="101"/>
        <v>行政管理</v>
      </c>
      <c r="H74" t="str">
        <f t="shared" si="112"/>
        <v>函授</v>
      </c>
      <c r="I74" t="str">
        <f t="shared" si="105"/>
        <v>陈红</v>
      </c>
      <c r="J74" t="str">
        <f>"行政沟通中的障碍及对策研究"</f>
        <v>行政沟通中的障碍及对策研究</v>
      </c>
      <c r="K74" t="str">
        <f>"理论研究"</f>
        <v>理论研究</v>
      </c>
      <c r="L74" t="str">
        <f>"行政沟通;障碍;对策研究"</f>
        <v>行政沟通;障碍;对策研究</v>
      </c>
      <c r="M74" t="str">
        <f>"现场答辩"</f>
        <v>现场答辩</v>
      </c>
      <c r="N74" t="str">
        <f t="shared" si="114"/>
        <v>审核通过</v>
      </c>
      <c r="O74" t="str">
        <f t="shared" si="107"/>
        <v>陈红</v>
      </c>
      <c r="P74" t="str">
        <f>"2023-06-30 18:14"</f>
        <v>2023-06-30 18:14</v>
      </c>
      <c r="Q74" t="str">
        <f t="shared" ref="Q74:T74" si="116">"通过"</f>
        <v>通过</v>
      </c>
      <c r="R74" t="str">
        <f t="shared" si="116"/>
        <v>通过</v>
      </c>
      <c r="S74" t="str">
        <f t="shared" si="116"/>
        <v>通过</v>
      </c>
      <c r="T74" t="str">
        <f t="shared" si="116"/>
        <v>通过</v>
      </c>
    </row>
    <row r="75" spans="1:20">
      <c r="A75" t="str">
        <f>"杜颖"</f>
        <v>杜颖</v>
      </c>
      <c r="B75" t="str">
        <f>"2117312119003"</f>
        <v>2117312119003</v>
      </c>
      <c r="C75" t="str">
        <f t="shared" ref="C75:C79" si="117">"计机科技21241"</f>
        <v>计机科技21241</v>
      </c>
      <c r="D75" t="str">
        <f t="shared" si="60"/>
        <v>2021</v>
      </c>
      <c r="E75" t="str">
        <f t="shared" si="99"/>
        <v>东莞电研院</v>
      </c>
      <c r="F75" t="str">
        <f t="shared" si="100"/>
        <v>专升本</v>
      </c>
      <c r="G75" t="str">
        <f t="shared" ref="G75:G79" si="118">"计算机科学与技术"</f>
        <v>计算机科学与技术</v>
      </c>
      <c r="H75" t="str">
        <f t="shared" si="112"/>
        <v>函授</v>
      </c>
      <c r="I75" t="str">
        <f t="shared" ref="I75:I79" si="119">"罗静"</f>
        <v>罗静</v>
      </c>
      <c r="J75" t="str">
        <f>"浅谈局域网下计算机网络安全技术"</f>
        <v>浅谈局域网下计算机网络安全技术</v>
      </c>
      <c r="K75" t="str">
        <f>"理论研究"</f>
        <v>理论研究</v>
      </c>
      <c r="L75" t="str">
        <f>"局域网;Internet;计算机网络;网络安全"</f>
        <v>局域网;Internet;计算机网络;网络安全</v>
      </c>
      <c r="M75" t="str">
        <f t="shared" si="113"/>
        <v>书面答辩</v>
      </c>
      <c r="N75" t="str">
        <f t="shared" si="114"/>
        <v>审核通过</v>
      </c>
      <c r="O75" t="str">
        <f t="shared" ref="O75:O79" si="120">"罗静"</f>
        <v>罗静</v>
      </c>
      <c r="P75" t="str">
        <f>"2023-06-29 17:06"</f>
        <v>2023-06-29 17:06</v>
      </c>
      <c r="Q75" t="str">
        <f t="shared" ref="Q75:T75" si="121">"通过"</f>
        <v>通过</v>
      </c>
      <c r="R75" t="str">
        <f t="shared" si="121"/>
        <v>通过</v>
      </c>
      <c r="S75" t="str">
        <f t="shared" si="121"/>
        <v>通过</v>
      </c>
      <c r="T75" t="str">
        <f t="shared" si="121"/>
        <v>通过</v>
      </c>
    </row>
    <row r="76" spans="1:20">
      <c r="A76" t="str">
        <f>"江嘉铭"</f>
        <v>江嘉铭</v>
      </c>
      <c r="B76" t="str">
        <f>"2117312119004"</f>
        <v>2117312119004</v>
      </c>
      <c r="C76" t="str">
        <f t="shared" si="117"/>
        <v>计机科技21241</v>
      </c>
      <c r="D76" t="str">
        <f t="shared" si="60"/>
        <v>2021</v>
      </c>
      <c r="E76" t="str">
        <f t="shared" si="99"/>
        <v>东莞电研院</v>
      </c>
      <c r="F76" t="str">
        <f t="shared" si="100"/>
        <v>专升本</v>
      </c>
      <c r="G76" t="str">
        <f t="shared" si="118"/>
        <v>计算机科学与技术</v>
      </c>
      <c r="H76" t="str">
        <f t="shared" si="112"/>
        <v>函授</v>
      </c>
      <c r="I76" t="str">
        <f t="shared" si="119"/>
        <v>罗静</v>
      </c>
      <c r="J76" t="str">
        <f>"计算机信息数据的安全与加密技术"</f>
        <v>计算机信息数据的安全与加密技术</v>
      </c>
      <c r="K76" t="str">
        <f>"应用研究"</f>
        <v>应用研究</v>
      </c>
      <c r="L76" t="str">
        <f>"网络安全;数据加密;网络通信;无线信道"</f>
        <v>网络安全;数据加密;网络通信;无线信道</v>
      </c>
      <c r="M76" t="str">
        <f t="shared" si="113"/>
        <v>书面答辩</v>
      </c>
      <c r="N76" t="str">
        <f t="shared" si="114"/>
        <v>审核通过</v>
      </c>
      <c r="O76" t="str">
        <f t="shared" si="120"/>
        <v>罗静</v>
      </c>
      <c r="P76" t="str">
        <f>"2023-06-30 18:26"</f>
        <v>2023-06-30 18:26</v>
      </c>
      <c r="Q76" t="str">
        <f t="shared" ref="Q76:T76" si="122">"通过"</f>
        <v>通过</v>
      </c>
      <c r="R76" t="str">
        <f t="shared" si="122"/>
        <v>通过</v>
      </c>
      <c r="S76" t="str">
        <f t="shared" si="122"/>
        <v>通过</v>
      </c>
      <c r="T76" t="str">
        <f t="shared" si="122"/>
        <v>通过</v>
      </c>
    </row>
    <row r="77" spans="1:20">
      <c r="A77" t="str">
        <f>"林惠安"</f>
        <v>林惠安</v>
      </c>
      <c r="B77" t="str">
        <f>"2117312119006"</f>
        <v>2117312119006</v>
      </c>
      <c r="C77" t="str">
        <f t="shared" si="117"/>
        <v>计机科技21241</v>
      </c>
      <c r="D77" t="str">
        <f t="shared" si="60"/>
        <v>2021</v>
      </c>
      <c r="E77" t="str">
        <f t="shared" si="99"/>
        <v>东莞电研院</v>
      </c>
      <c r="F77" t="str">
        <f t="shared" si="100"/>
        <v>专升本</v>
      </c>
      <c r="G77" t="str">
        <f t="shared" si="118"/>
        <v>计算机科学与技术</v>
      </c>
      <c r="H77" t="str">
        <f t="shared" si="112"/>
        <v>函授</v>
      </c>
      <c r="I77" t="str">
        <f t="shared" si="119"/>
        <v>罗静</v>
      </c>
      <c r="J77" t="str">
        <f>"网上书店系统设计"</f>
        <v>网上书店系统设计</v>
      </c>
      <c r="K77" t="str">
        <f t="shared" ref="K77:K79" si="123">"理论研究"</f>
        <v>理论研究</v>
      </c>
      <c r="L77" t="str">
        <f>"电子商务;图书销售网站;MVC;数据库"</f>
        <v>电子商务;图书销售网站;MVC;数据库</v>
      </c>
      <c r="M77" t="str">
        <f>"现场答辩"</f>
        <v>现场答辩</v>
      </c>
      <c r="N77" t="str">
        <f t="shared" si="114"/>
        <v>审核通过</v>
      </c>
      <c r="O77" t="str">
        <f t="shared" si="120"/>
        <v>罗静</v>
      </c>
      <c r="P77" t="str">
        <f>"2023-06-30 18:28"</f>
        <v>2023-06-30 18:28</v>
      </c>
      <c r="Q77" t="str">
        <f t="shared" ref="Q77:T77" si="124">"通过"</f>
        <v>通过</v>
      </c>
      <c r="R77" t="str">
        <f t="shared" si="124"/>
        <v>通过</v>
      </c>
      <c r="S77" t="str">
        <f t="shared" si="124"/>
        <v>通过</v>
      </c>
      <c r="T77" t="str">
        <f t="shared" si="124"/>
        <v>通过</v>
      </c>
    </row>
    <row r="78" spans="1:20">
      <c r="A78" t="str">
        <f>"覃达毅"</f>
        <v>覃达毅</v>
      </c>
      <c r="B78" t="str">
        <f>"2117312119014"</f>
        <v>2117312119014</v>
      </c>
      <c r="C78" t="str">
        <f t="shared" si="117"/>
        <v>计机科技21241</v>
      </c>
      <c r="D78" t="str">
        <f t="shared" si="60"/>
        <v>2021</v>
      </c>
      <c r="E78" t="str">
        <f t="shared" si="99"/>
        <v>东莞电研院</v>
      </c>
      <c r="F78" t="str">
        <f t="shared" si="100"/>
        <v>专升本</v>
      </c>
      <c r="G78" t="str">
        <f t="shared" si="118"/>
        <v>计算机科学与技术</v>
      </c>
      <c r="H78" t="str">
        <f t="shared" si="112"/>
        <v>函授</v>
      </c>
      <c r="I78" t="str">
        <f t="shared" si="119"/>
        <v>罗静</v>
      </c>
      <c r="J78" t="str">
        <f>"基于Spring Boot框架的企业内部办公自动化系统的设计与实现"</f>
        <v>基于Spring Boot框架的企业内部办公自动化系统的设计与实现</v>
      </c>
      <c r="K78" t="str">
        <f t="shared" si="123"/>
        <v>理论研究</v>
      </c>
      <c r="L78" t="str">
        <f>"Spring Boot框架;企业内部;办公自动化系统"</f>
        <v>Spring Boot框架;企业内部;办公自动化系统</v>
      </c>
      <c r="M78" t="str">
        <f>"书面答辩"</f>
        <v>书面答辩</v>
      </c>
      <c r="N78" t="str">
        <f t="shared" si="114"/>
        <v>审核通过</v>
      </c>
      <c r="O78" t="str">
        <f t="shared" si="120"/>
        <v>罗静</v>
      </c>
      <c r="P78" t="str">
        <f>"2023-06-30 18:29"</f>
        <v>2023-06-30 18:29</v>
      </c>
      <c r="Q78" t="str">
        <f t="shared" ref="Q78:T78" si="125">"通过"</f>
        <v>通过</v>
      </c>
      <c r="R78" t="str">
        <f t="shared" si="125"/>
        <v>通过</v>
      </c>
      <c r="S78" t="str">
        <f t="shared" si="125"/>
        <v>通过</v>
      </c>
      <c r="T78" t="str">
        <f t="shared" si="125"/>
        <v>通过</v>
      </c>
    </row>
    <row r="79" spans="1:20">
      <c r="A79" t="str">
        <f>"韦月贵"</f>
        <v>韦月贵</v>
      </c>
      <c r="B79" t="str">
        <f>"2117312119015"</f>
        <v>2117312119015</v>
      </c>
      <c r="C79" t="str">
        <f t="shared" si="117"/>
        <v>计机科技21241</v>
      </c>
      <c r="D79" t="str">
        <f t="shared" si="60"/>
        <v>2021</v>
      </c>
      <c r="E79" t="str">
        <f t="shared" si="99"/>
        <v>东莞电研院</v>
      </c>
      <c r="F79" t="str">
        <f t="shared" si="100"/>
        <v>专升本</v>
      </c>
      <c r="G79" t="str">
        <f t="shared" si="118"/>
        <v>计算机科学与技术</v>
      </c>
      <c r="H79" t="str">
        <f t="shared" si="112"/>
        <v>函授</v>
      </c>
      <c r="I79" t="str">
        <f t="shared" si="119"/>
        <v>罗静</v>
      </c>
      <c r="J79" t="str">
        <f>"基于JAVA的企业级OA系统设计与实现"</f>
        <v>基于JAVA的企业级OA系统设计与实现</v>
      </c>
      <c r="K79" t="str">
        <f t="shared" si="123"/>
        <v>理论研究</v>
      </c>
      <c r="L79" t="str">
        <f>"JAVA;企业级;OA系统"</f>
        <v>JAVA;企业级;OA系统</v>
      </c>
      <c r="M79" t="str">
        <f>"书面答辩"</f>
        <v>书面答辩</v>
      </c>
      <c r="N79" t="str">
        <f t="shared" si="114"/>
        <v>审核通过</v>
      </c>
      <c r="O79" t="str">
        <f t="shared" si="120"/>
        <v>罗静</v>
      </c>
      <c r="P79" t="str">
        <f>"2023-06-30 18:30"</f>
        <v>2023-06-30 18:30</v>
      </c>
      <c r="Q79" t="str">
        <f t="shared" ref="Q79:T79" si="126">"通过"</f>
        <v>通过</v>
      </c>
      <c r="R79" t="str">
        <f t="shared" si="126"/>
        <v>通过</v>
      </c>
      <c r="S79" t="str">
        <f t="shared" si="126"/>
        <v>通过</v>
      </c>
      <c r="T79" t="str">
        <f t="shared" si="126"/>
        <v>通过</v>
      </c>
    </row>
    <row r="80" spans="1:20">
      <c r="A80" t="str">
        <f>"郭明金"</f>
        <v>郭明金</v>
      </c>
      <c r="B80" t="str">
        <f>"2117411101003"</f>
        <v>2117411101003</v>
      </c>
      <c r="C80" t="str">
        <f t="shared" ref="C80:C86" si="127">"金融21129"</f>
        <v>金融21129</v>
      </c>
      <c r="D80" t="str">
        <f t="shared" si="60"/>
        <v>2021</v>
      </c>
      <c r="E80" t="str">
        <f t="shared" ref="E80:E143" si="128">"东莞电研院"</f>
        <v>东莞电研院</v>
      </c>
      <c r="F80" t="str">
        <f t="shared" ref="F80:F143" si="129">"专升本"</f>
        <v>专升本</v>
      </c>
      <c r="G80" t="str">
        <f t="shared" ref="G80:G86" si="130">"金融学"</f>
        <v>金融学</v>
      </c>
      <c r="H80" t="str">
        <f t="shared" ref="H80:H117" si="131">"业余"</f>
        <v>业余</v>
      </c>
      <c r="I80" t="str">
        <f t="shared" ref="I80:I86" si="132">"许雪玉"</f>
        <v>许雪玉</v>
      </c>
      <c r="J80" t="str">
        <f>"研究我国货币基金发展现状与前景"</f>
        <v>研究我国货币基金发展现状与前景</v>
      </c>
      <c r="K80" t="str">
        <f>"基金投资"</f>
        <v>基金投资</v>
      </c>
      <c r="L80" t="str">
        <f>"基金投资;投资理财;基金发展与前进"</f>
        <v>基金投资;投资理财;基金发展与前进</v>
      </c>
      <c r="M80" t="str">
        <f>"现场答辩"</f>
        <v>现场答辩</v>
      </c>
      <c r="N80" t="str">
        <f t="shared" ref="N80:N98" si="133">"审核通过"</f>
        <v>审核通过</v>
      </c>
      <c r="O80" t="str">
        <f t="shared" ref="O80:O84" si="134">"许雪玉"</f>
        <v>许雪玉</v>
      </c>
      <c r="P80" t="str">
        <f>"2023-07-01 18:58"</f>
        <v>2023-07-01 18:58</v>
      </c>
      <c r="Q80" t="str">
        <f t="shared" ref="Q80:T80" si="135">"通过"</f>
        <v>通过</v>
      </c>
      <c r="R80" t="str">
        <f t="shared" si="135"/>
        <v>通过</v>
      </c>
      <c r="S80" t="str">
        <f t="shared" si="135"/>
        <v>通过</v>
      </c>
      <c r="T80" t="str">
        <f t="shared" si="135"/>
        <v>通过</v>
      </c>
    </row>
    <row r="81" spans="1:20">
      <c r="A81" t="str">
        <f>"何广进"</f>
        <v>何广进</v>
      </c>
      <c r="B81" t="str">
        <f>"2117411101004"</f>
        <v>2117411101004</v>
      </c>
      <c r="C81" t="str">
        <f t="shared" si="127"/>
        <v>金融21129</v>
      </c>
      <c r="D81" t="str">
        <f t="shared" si="60"/>
        <v>2021</v>
      </c>
      <c r="E81" t="str">
        <f t="shared" si="128"/>
        <v>东莞电研院</v>
      </c>
      <c r="F81" t="str">
        <f t="shared" si="129"/>
        <v>专升本</v>
      </c>
      <c r="G81" t="str">
        <f t="shared" si="130"/>
        <v>金融学</v>
      </c>
      <c r="H81" t="str">
        <f t="shared" si="131"/>
        <v>业余</v>
      </c>
      <c r="I81" t="str">
        <f t="shared" si="132"/>
        <v>许雪玉</v>
      </c>
      <c r="J81" t="str">
        <f>"人口老龄化对我国的经济影响"</f>
        <v>人口老龄化对我国的经济影响</v>
      </c>
      <c r="K81" t="str">
        <f>"人口对经济的影响"</f>
        <v>人口对经济的影响</v>
      </c>
      <c r="L81" t="str">
        <f>"人口;经济;老龄化"</f>
        <v>人口;经济;老龄化</v>
      </c>
      <c r="M81" t="str">
        <f>"书面答辩"</f>
        <v>书面答辩</v>
      </c>
      <c r="N81" t="str">
        <f t="shared" si="133"/>
        <v>审核通过</v>
      </c>
      <c r="O81" t="str">
        <f t="shared" si="134"/>
        <v>许雪玉</v>
      </c>
      <c r="P81" t="str">
        <f>"2023-06-30 23:05"</f>
        <v>2023-06-30 23:05</v>
      </c>
      <c r="Q81" t="str">
        <f t="shared" ref="Q81:T81" si="136">"通过"</f>
        <v>通过</v>
      </c>
      <c r="R81" t="str">
        <f t="shared" si="136"/>
        <v>通过</v>
      </c>
      <c r="S81" t="str">
        <f t="shared" si="136"/>
        <v>通过</v>
      </c>
      <c r="T81" t="str">
        <f t="shared" si="136"/>
        <v>通过</v>
      </c>
    </row>
    <row r="82" spans="1:20">
      <c r="A82" t="str">
        <f>"石如芳"</f>
        <v>石如芳</v>
      </c>
      <c r="B82" t="str">
        <f>"2117411101009"</f>
        <v>2117411101009</v>
      </c>
      <c r="C82" t="str">
        <f t="shared" si="127"/>
        <v>金融21129</v>
      </c>
      <c r="D82" t="str">
        <f t="shared" si="60"/>
        <v>2021</v>
      </c>
      <c r="E82" t="str">
        <f t="shared" si="128"/>
        <v>东莞电研院</v>
      </c>
      <c r="F82" t="str">
        <f t="shared" si="129"/>
        <v>专升本</v>
      </c>
      <c r="G82" t="str">
        <f t="shared" si="130"/>
        <v>金融学</v>
      </c>
      <c r="H82" t="str">
        <f t="shared" si="131"/>
        <v>业余</v>
      </c>
      <c r="I82" t="str">
        <f t="shared" si="132"/>
        <v>许雪玉</v>
      </c>
      <c r="J82" t="str">
        <f>"论证券基金金融市场货币政策和利率政策"</f>
        <v>论证券基金金融市场货币政策和利率政策</v>
      </c>
      <c r="K82" t="str">
        <f>"证券市场基金市场"</f>
        <v>证券市场基金市场</v>
      </c>
      <c r="L82" t="str">
        <f>"货币政策;利率政策;证券基金"</f>
        <v>货币政策;利率政策;证券基金</v>
      </c>
      <c r="M82" t="str">
        <f>"现场答辩"</f>
        <v>现场答辩</v>
      </c>
      <c r="N82" t="str">
        <f t="shared" si="133"/>
        <v>审核通过</v>
      </c>
      <c r="O82" t="str">
        <f t="shared" si="134"/>
        <v>许雪玉</v>
      </c>
      <c r="P82" t="str">
        <f>"2023-07-01 18:59"</f>
        <v>2023-07-01 18:59</v>
      </c>
      <c r="Q82" t="str">
        <f t="shared" ref="Q82:T82" si="137">"通过"</f>
        <v>通过</v>
      </c>
      <c r="R82" t="str">
        <f t="shared" si="137"/>
        <v>通过</v>
      </c>
      <c r="S82" t="str">
        <f t="shared" si="137"/>
        <v>通过</v>
      </c>
      <c r="T82" t="str">
        <f t="shared" si="137"/>
        <v>通过</v>
      </c>
    </row>
    <row r="83" spans="1:20">
      <c r="A83" t="str">
        <f>"宋慧子"</f>
        <v>宋慧子</v>
      </c>
      <c r="B83" t="str">
        <f>"2117411101010"</f>
        <v>2117411101010</v>
      </c>
      <c r="C83" t="str">
        <f t="shared" si="127"/>
        <v>金融21129</v>
      </c>
      <c r="D83" t="str">
        <f t="shared" si="60"/>
        <v>2021</v>
      </c>
      <c r="E83" t="str">
        <f t="shared" si="128"/>
        <v>东莞电研院</v>
      </c>
      <c r="F83" t="str">
        <f t="shared" si="129"/>
        <v>专升本</v>
      </c>
      <c r="G83" t="str">
        <f t="shared" si="130"/>
        <v>金融学</v>
      </c>
      <c r="H83" t="str">
        <f t="shared" si="131"/>
        <v>业余</v>
      </c>
      <c r="I83" t="str">
        <f t="shared" si="132"/>
        <v>许雪玉</v>
      </c>
      <c r="J83" t="str">
        <f>"中小企业融资现状及对策"</f>
        <v>中小企业融资现状及对策</v>
      </c>
      <c r="K83" t="str">
        <f>"中小企业融资现状"</f>
        <v>中小企业融资现状</v>
      </c>
      <c r="L83" t="str">
        <f>"中小企业;融资;对策"</f>
        <v>中小企业;融资;对策</v>
      </c>
      <c r="M83" t="str">
        <f t="shared" ref="M83:M86" si="138">"书面答辩"</f>
        <v>书面答辩</v>
      </c>
      <c r="N83" t="str">
        <f t="shared" si="133"/>
        <v>审核通过</v>
      </c>
      <c r="O83" t="str">
        <f t="shared" si="134"/>
        <v>许雪玉</v>
      </c>
      <c r="P83" t="str">
        <f>"2023-06-30 23:05"</f>
        <v>2023-06-30 23:05</v>
      </c>
      <c r="Q83" t="str">
        <f t="shared" ref="Q83:T83" si="139">"通过"</f>
        <v>通过</v>
      </c>
      <c r="R83" t="str">
        <f t="shared" si="139"/>
        <v>通过</v>
      </c>
      <c r="S83" t="str">
        <f t="shared" si="139"/>
        <v>通过</v>
      </c>
      <c r="T83" t="str">
        <f t="shared" si="139"/>
        <v>通过</v>
      </c>
    </row>
    <row r="84" spans="1:20">
      <c r="A84" t="str">
        <f>"王范苑"</f>
        <v>王范苑</v>
      </c>
      <c r="B84" t="str">
        <f>"2117411101012"</f>
        <v>2117411101012</v>
      </c>
      <c r="C84" t="str">
        <f t="shared" si="127"/>
        <v>金融21129</v>
      </c>
      <c r="D84" t="str">
        <f t="shared" si="60"/>
        <v>2021</v>
      </c>
      <c r="E84" t="str">
        <f t="shared" si="128"/>
        <v>东莞电研院</v>
      </c>
      <c r="F84" t="str">
        <f t="shared" si="129"/>
        <v>专升本</v>
      </c>
      <c r="G84" t="str">
        <f t="shared" si="130"/>
        <v>金融学</v>
      </c>
      <c r="H84" t="str">
        <f t="shared" si="131"/>
        <v>业余</v>
      </c>
      <c r="I84" t="str">
        <f t="shared" si="132"/>
        <v>许雪玉</v>
      </c>
      <c r="J84" t="str">
        <f>"我国中小型企业融资现状与对策研究"</f>
        <v>我国中小型企业融资现状与对策研究</v>
      </c>
      <c r="K84" t="str">
        <f>"企业融资现状"</f>
        <v>企业融资现状</v>
      </c>
      <c r="L84" t="str">
        <f>"市场;体系;建设"</f>
        <v>市场;体系;建设</v>
      </c>
      <c r="M84" t="str">
        <f t="shared" si="138"/>
        <v>书面答辩</v>
      </c>
      <c r="N84" t="str">
        <f t="shared" si="133"/>
        <v>审核通过</v>
      </c>
      <c r="O84" t="str">
        <f t="shared" si="134"/>
        <v>许雪玉</v>
      </c>
      <c r="P84" t="str">
        <f>"2023-06-28 10:54"</f>
        <v>2023-06-28 10:54</v>
      </c>
      <c r="Q84" t="str">
        <f t="shared" ref="Q84:T84" si="140">"通过"</f>
        <v>通过</v>
      </c>
      <c r="R84" t="str">
        <f t="shared" si="140"/>
        <v>通过</v>
      </c>
      <c r="S84" t="str">
        <f t="shared" si="140"/>
        <v>通过</v>
      </c>
      <c r="T84" t="str">
        <f t="shared" si="140"/>
        <v>通过</v>
      </c>
    </row>
    <row r="85" spans="1:20">
      <c r="A85" t="str">
        <f>"夏艳霞"</f>
        <v>夏艳霞</v>
      </c>
      <c r="B85" t="str">
        <f>"2117411101014"</f>
        <v>2117411101014</v>
      </c>
      <c r="C85" t="str">
        <f t="shared" si="127"/>
        <v>金融21129</v>
      </c>
      <c r="D85" t="str">
        <f t="shared" si="60"/>
        <v>2021</v>
      </c>
      <c r="E85" t="str">
        <f t="shared" si="128"/>
        <v>东莞电研院</v>
      </c>
      <c r="F85" t="str">
        <f t="shared" si="129"/>
        <v>专升本</v>
      </c>
      <c r="G85" t="str">
        <f t="shared" si="130"/>
        <v>金融学</v>
      </c>
      <c r="H85" t="str">
        <f t="shared" si="131"/>
        <v>业余</v>
      </c>
      <c r="I85" t="str">
        <f t="shared" si="132"/>
        <v>许雪玉</v>
      </c>
      <c r="J85" t="s">
        <v>21</v>
      </c>
      <c r="K85" t="str">
        <f>"中国茶叶"</f>
        <v>中国茶叶</v>
      </c>
      <c r="L85" t="str">
        <f>"一带一路;国际贸易;东盟十国"</f>
        <v>一带一路;国际贸易;东盟十国</v>
      </c>
      <c r="M85" t="str">
        <f t="shared" si="138"/>
        <v>书面答辩</v>
      </c>
      <c r="N85" t="str">
        <f t="shared" si="133"/>
        <v>审核通过</v>
      </c>
      <c r="O85" t="str">
        <f>"黄常喜"</f>
        <v>黄常喜</v>
      </c>
      <c r="P85" t="str">
        <f>"2023-07-03 14:41"</f>
        <v>2023-07-03 14:41</v>
      </c>
      <c r="Q85" t="str">
        <f t="shared" ref="Q85:T85" si="141">"通过"</f>
        <v>通过</v>
      </c>
      <c r="R85" t="str">
        <f t="shared" si="141"/>
        <v>通过</v>
      </c>
      <c r="S85" t="str">
        <f t="shared" si="141"/>
        <v>通过</v>
      </c>
      <c r="T85" t="str">
        <f t="shared" si="141"/>
        <v>通过</v>
      </c>
    </row>
    <row r="86" spans="1:20">
      <c r="A86" t="str">
        <f>"周泽宇"</f>
        <v>周泽宇</v>
      </c>
      <c r="B86" t="str">
        <f>"2117411101019"</f>
        <v>2117411101019</v>
      </c>
      <c r="C86" t="str">
        <f t="shared" si="127"/>
        <v>金融21129</v>
      </c>
      <c r="D86" t="str">
        <f t="shared" si="60"/>
        <v>2021</v>
      </c>
      <c r="E86" t="str">
        <f t="shared" si="128"/>
        <v>东莞电研院</v>
      </c>
      <c r="F86" t="str">
        <f t="shared" si="129"/>
        <v>专升本</v>
      </c>
      <c r="G86" t="str">
        <f t="shared" si="130"/>
        <v>金融学</v>
      </c>
      <c r="H86" t="str">
        <f t="shared" si="131"/>
        <v>业余</v>
      </c>
      <c r="I86" t="str">
        <f t="shared" si="132"/>
        <v>许雪玉</v>
      </c>
      <c r="J86" t="str">
        <f>"债务杠杆率调整与货币政策选择问题研究"</f>
        <v>债务杠杆率调整与货币政策选择问题研究</v>
      </c>
      <c r="K86" t="str">
        <f>"债务杠杆率调整"</f>
        <v>债务杠杆率调整</v>
      </c>
      <c r="L86" t="str">
        <f>"虚拟经济;膨胀;杠杆率"</f>
        <v>虚拟经济;膨胀;杠杆率</v>
      </c>
      <c r="M86" t="str">
        <f t="shared" si="138"/>
        <v>书面答辩</v>
      </c>
      <c r="N86" t="str">
        <f t="shared" si="133"/>
        <v>审核通过</v>
      </c>
      <c r="O86" t="str">
        <f>"许雪玉"</f>
        <v>许雪玉</v>
      </c>
      <c r="P86" t="str">
        <f>"2023-06-30 16:47"</f>
        <v>2023-06-30 16:47</v>
      </c>
      <c r="Q86" t="str">
        <f>"未填写"</f>
        <v>未填写</v>
      </c>
      <c r="R86" t="str">
        <f t="shared" ref="R86:T86" si="142">"未上传"</f>
        <v>未上传</v>
      </c>
      <c r="S86" t="str">
        <f t="shared" si="142"/>
        <v>未上传</v>
      </c>
      <c r="T86" t="str">
        <f t="shared" si="142"/>
        <v>未上传</v>
      </c>
    </row>
    <row r="87" spans="1:20">
      <c r="A87" t="str">
        <f>"何青"</f>
        <v>何青</v>
      </c>
      <c r="B87" t="str">
        <f>"2117411102002"</f>
        <v>2117411102002</v>
      </c>
      <c r="C87" t="str">
        <f>"国贸21091"</f>
        <v>国贸21091</v>
      </c>
      <c r="D87" t="str">
        <f t="shared" si="60"/>
        <v>2021</v>
      </c>
      <c r="E87" t="str">
        <f t="shared" si="128"/>
        <v>东莞电研院</v>
      </c>
      <c r="F87" t="str">
        <f t="shared" si="129"/>
        <v>专升本</v>
      </c>
      <c r="G87" t="str">
        <f>"国际经济与贸易"</f>
        <v>国际经济与贸易</v>
      </c>
      <c r="H87" t="str">
        <f t="shared" si="131"/>
        <v>业余</v>
      </c>
      <c r="I87" t="str">
        <f>"彭扬"</f>
        <v>彭扬</v>
      </c>
      <c r="J87" t="str">
        <f>"研究我国中小型外贸企业存在的问题与对策"</f>
        <v>研究我国中小型外贸企业存在的问题与对策</v>
      </c>
      <c r="K87" t="str">
        <f>"贸易管理"</f>
        <v>贸易管理</v>
      </c>
      <c r="L87" t="str">
        <f>"外贸;中小型企业;对策"</f>
        <v>外贸;中小型企业;对策</v>
      </c>
      <c r="M87" t="str">
        <f>"现场答辩"</f>
        <v>现场答辩</v>
      </c>
      <c r="N87" t="str">
        <f t="shared" si="133"/>
        <v>审核通过</v>
      </c>
      <c r="O87" t="str">
        <f>"彭扬"</f>
        <v>彭扬</v>
      </c>
      <c r="P87" t="str">
        <f>"2023-07-01 18:47"</f>
        <v>2023-07-01 18:47</v>
      </c>
      <c r="Q87" t="str">
        <f>"通过"</f>
        <v>通过</v>
      </c>
      <c r="R87" t="str">
        <f>"通过"</f>
        <v>通过</v>
      </c>
      <c r="S87" t="str">
        <f>"未上传"</f>
        <v>未上传</v>
      </c>
      <c r="T87" t="str">
        <f>"未上传"</f>
        <v>未上传</v>
      </c>
    </row>
    <row r="88" spans="1:20">
      <c r="A88" t="str">
        <f>"陈文婷"</f>
        <v>陈文婷</v>
      </c>
      <c r="B88" t="str">
        <f>"2117411103004"</f>
        <v>2117411103004</v>
      </c>
      <c r="C88" t="str">
        <f t="shared" ref="C88:C95" si="143">"法学21070"</f>
        <v>法学21070</v>
      </c>
      <c r="D88" t="str">
        <f t="shared" si="60"/>
        <v>2021</v>
      </c>
      <c r="E88" t="str">
        <f t="shared" si="128"/>
        <v>东莞电研院</v>
      </c>
      <c r="F88" t="str">
        <f t="shared" si="129"/>
        <v>专升本</v>
      </c>
      <c r="G88" t="str">
        <f t="shared" ref="G88:G95" si="144">"法学"</f>
        <v>法学</v>
      </c>
      <c r="H88" t="str">
        <f t="shared" si="131"/>
        <v>业余</v>
      </c>
      <c r="I88" t="str">
        <f t="shared" ref="I88:I95" si="145">"荣佳"</f>
        <v>荣佳</v>
      </c>
      <c r="J88" t="str">
        <f>"论未成年人犯罪的特点和预防机制"</f>
        <v>论未成年人犯罪的特点和预防机制</v>
      </c>
      <c r="K88" t="str">
        <f>"犯罪的因素;预防方法"</f>
        <v>犯罪的因素;预防方法</v>
      </c>
      <c r="L88" t="str">
        <f>"未成年人犯罪;特点;预防机制"</f>
        <v>未成年人犯罪;特点;预防机制</v>
      </c>
      <c r="M88" t="str">
        <f>"书面答辩"</f>
        <v>书面答辩</v>
      </c>
      <c r="N88" t="str">
        <f t="shared" si="133"/>
        <v>审核通过</v>
      </c>
      <c r="O88" t="str">
        <f>"荣佳"</f>
        <v>荣佳</v>
      </c>
      <c r="P88" t="str">
        <f>"2023-06-29 17:10"</f>
        <v>2023-06-29 17:10</v>
      </c>
      <c r="Q88" t="str">
        <f t="shared" ref="Q88:T88" si="146">"通过"</f>
        <v>通过</v>
      </c>
      <c r="R88" t="str">
        <f t="shared" si="146"/>
        <v>通过</v>
      </c>
      <c r="S88" t="str">
        <f t="shared" si="146"/>
        <v>通过</v>
      </c>
      <c r="T88" t="str">
        <f t="shared" si="146"/>
        <v>通过</v>
      </c>
    </row>
    <row r="89" spans="1:20">
      <c r="A89" t="str">
        <f>"郭永佳"</f>
        <v>郭永佳</v>
      </c>
      <c r="B89" t="str">
        <f>"2117411103009"</f>
        <v>2117411103009</v>
      </c>
      <c r="C89" t="str">
        <f t="shared" si="143"/>
        <v>法学21070</v>
      </c>
      <c r="D89" t="str">
        <f t="shared" si="60"/>
        <v>2021</v>
      </c>
      <c r="E89" t="str">
        <f t="shared" si="128"/>
        <v>东莞电研院</v>
      </c>
      <c r="F89" t="str">
        <f t="shared" si="129"/>
        <v>专升本</v>
      </c>
      <c r="G89" t="str">
        <f t="shared" si="144"/>
        <v>法学</v>
      </c>
      <c r="H89" t="str">
        <f t="shared" si="131"/>
        <v>业余</v>
      </c>
      <c r="I89" t="str">
        <f t="shared" si="145"/>
        <v>荣佳</v>
      </c>
      <c r="J89" t="str">
        <f>"论未成年人犯罪的特点和预防机制"</f>
        <v>论未成年人犯罪的特点和预防机制</v>
      </c>
      <c r="K89" t="str">
        <f>"预防未成年人犯罪"</f>
        <v>预防未成年人犯罪</v>
      </c>
      <c r="L89" t="str">
        <f>"未成年人;犯罪;预防;探讨"</f>
        <v>未成年人;犯罪;预防;探讨</v>
      </c>
      <c r="M89" t="str">
        <f>"书面答辩"</f>
        <v>书面答辩</v>
      </c>
      <c r="N89" t="str">
        <f t="shared" si="133"/>
        <v>审核通过</v>
      </c>
      <c r="O89" t="str">
        <f>"荣佳"</f>
        <v>荣佳</v>
      </c>
      <c r="P89" t="str">
        <f>"2023-06-29 17:11"</f>
        <v>2023-06-29 17:11</v>
      </c>
      <c r="Q89" t="str">
        <f t="shared" ref="Q89:T89" si="147">"通过"</f>
        <v>通过</v>
      </c>
      <c r="R89" t="str">
        <f t="shared" si="147"/>
        <v>通过</v>
      </c>
      <c r="S89" t="str">
        <f t="shared" si="147"/>
        <v>通过</v>
      </c>
      <c r="T89" t="str">
        <f t="shared" si="147"/>
        <v>通过</v>
      </c>
    </row>
    <row r="90" spans="1:20">
      <c r="A90" t="str">
        <f>"刘耀坤"</f>
        <v>刘耀坤</v>
      </c>
      <c r="B90" t="str">
        <f>"2117411103023"</f>
        <v>2117411103023</v>
      </c>
      <c r="C90" t="str">
        <f t="shared" si="143"/>
        <v>法学21070</v>
      </c>
      <c r="D90" t="str">
        <f t="shared" si="60"/>
        <v>2021</v>
      </c>
      <c r="E90" t="str">
        <f t="shared" si="128"/>
        <v>东莞电研院</v>
      </c>
      <c r="F90" t="str">
        <f t="shared" si="129"/>
        <v>专升本</v>
      </c>
      <c r="G90" t="str">
        <f t="shared" si="144"/>
        <v>法学</v>
      </c>
      <c r="H90" t="str">
        <f t="shared" si="131"/>
        <v>业余</v>
      </c>
      <c r="I90" t="str">
        <f t="shared" si="145"/>
        <v>荣佳</v>
      </c>
      <c r="J90" t="str">
        <f>"我国婚内财产分割制度探析"</f>
        <v>我国婚内财产分割制度探析</v>
      </c>
      <c r="K90" t="str">
        <f>"婚内财产分割问题"</f>
        <v>婚内财产分割问题</v>
      </c>
      <c r="L90" t="str">
        <f>"婚内财产;婚内财产分割;《民法典》第1066条"</f>
        <v>婚内财产;婚内财产分割;《民法典》第1066条</v>
      </c>
      <c r="M90" t="str">
        <f>"书面答辩"</f>
        <v>书面答辩</v>
      </c>
      <c r="N90" t="str">
        <f t="shared" si="133"/>
        <v>审核通过</v>
      </c>
      <c r="O90" t="str">
        <f>"荣佳"</f>
        <v>荣佳</v>
      </c>
      <c r="P90" t="str">
        <f>"2023-06-29 17:11"</f>
        <v>2023-06-29 17:11</v>
      </c>
      <c r="Q90" t="str">
        <f t="shared" ref="Q90:T90" si="148">"通过"</f>
        <v>通过</v>
      </c>
      <c r="R90" t="str">
        <f t="shared" si="148"/>
        <v>通过</v>
      </c>
      <c r="S90" t="str">
        <f t="shared" si="148"/>
        <v>通过</v>
      </c>
      <c r="T90" t="str">
        <f t="shared" si="148"/>
        <v>通过</v>
      </c>
    </row>
    <row r="91" spans="1:20">
      <c r="A91" t="str">
        <f>"王国群"</f>
        <v>王国群</v>
      </c>
      <c r="B91" t="str">
        <f>"2117411103029"</f>
        <v>2117411103029</v>
      </c>
      <c r="C91" t="str">
        <f t="shared" si="143"/>
        <v>法学21070</v>
      </c>
      <c r="D91" t="str">
        <f t="shared" si="60"/>
        <v>2021</v>
      </c>
      <c r="E91" t="str">
        <f t="shared" si="128"/>
        <v>东莞电研院</v>
      </c>
      <c r="F91" t="str">
        <f t="shared" si="129"/>
        <v>专升本</v>
      </c>
      <c r="G91" t="str">
        <f t="shared" si="144"/>
        <v>法学</v>
      </c>
      <c r="H91" t="str">
        <f t="shared" si="131"/>
        <v>业余</v>
      </c>
      <c r="I91" t="str">
        <f t="shared" si="145"/>
        <v>荣佳</v>
      </c>
      <c r="J91" t="str">
        <f>"劳动合同法对民营企业员工劳动权益的法律保护"</f>
        <v>劳动合同法对民营企业员工劳动权益的法律保护</v>
      </c>
      <c r="K91" t="str">
        <f>"劳动者权益;劳动合同法"</f>
        <v>劳动者权益;劳动合同法</v>
      </c>
      <c r="L91" t="str">
        <f>"劳动合同法;员工劳动权益;员工关系"</f>
        <v>劳动合同法;员工劳动权益;员工关系</v>
      </c>
      <c r="M91" t="str">
        <f>"现场答辩"</f>
        <v>现场答辩</v>
      </c>
      <c r="N91" t="str">
        <f t="shared" si="133"/>
        <v>审核通过</v>
      </c>
      <c r="O91" t="str">
        <f t="shared" ref="O91:O94" si="149">"荣佳"</f>
        <v>荣佳</v>
      </c>
      <c r="P91" t="str">
        <f>"2023-06-29 17:11"</f>
        <v>2023-06-29 17:11</v>
      </c>
      <c r="Q91" t="str">
        <f t="shared" ref="Q91:T91" si="150">"通过"</f>
        <v>通过</v>
      </c>
      <c r="R91" t="str">
        <f t="shared" si="150"/>
        <v>通过</v>
      </c>
      <c r="S91" t="str">
        <f t="shared" si="150"/>
        <v>通过</v>
      </c>
      <c r="T91" t="str">
        <f t="shared" si="150"/>
        <v>通过</v>
      </c>
    </row>
    <row r="92" spans="1:20">
      <c r="A92" t="str">
        <f>"吴思佑"</f>
        <v>吴思佑</v>
      </c>
      <c r="B92" t="str">
        <f>"2117411103032"</f>
        <v>2117411103032</v>
      </c>
      <c r="C92" t="str">
        <f t="shared" si="143"/>
        <v>法学21070</v>
      </c>
      <c r="D92" t="str">
        <f t="shared" si="60"/>
        <v>2021</v>
      </c>
      <c r="E92" t="str">
        <f t="shared" si="128"/>
        <v>东莞电研院</v>
      </c>
      <c r="F92" t="str">
        <f t="shared" si="129"/>
        <v>专升本</v>
      </c>
      <c r="G92" t="str">
        <f t="shared" si="144"/>
        <v>法学</v>
      </c>
      <c r="H92" t="str">
        <f t="shared" si="131"/>
        <v>业余</v>
      </c>
      <c r="I92" t="str">
        <f t="shared" si="145"/>
        <v>荣佳</v>
      </c>
      <c r="J92" t="str">
        <f>"论农民工权益保护的法律路径"</f>
        <v>论农民工权益保护的法律路径</v>
      </c>
      <c r="K92" t="str">
        <f>"农民工权益保护"</f>
        <v>农民工权益保护</v>
      </c>
      <c r="L92" t="str">
        <f>"农民工;权益保护;法律路径"</f>
        <v>农民工;权益保护;法律路径</v>
      </c>
      <c r="M92" t="str">
        <f t="shared" ref="M92:M98" si="151">"书面答辩"</f>
        <v>书面答辩</v>
      </c>
      <c r="N92" t="str">
        <f t="shared" si="133"/>
        <v>审核通过</v>
      </c>
      <c r="O92" t="str">
        <f t="shared" si="149"/>
        <v>荣佳</v>
      </c>
      <c r="P92" t="str">
        <f>"2023-06-29 17:12"</f>
        <v>2023-06-29 17:12</v>
      </c>
      <c r="Q92" t="str">
        <f t="shared" ref="Q92:T92" si="152">"通过"</f>
        <v>通过</v>
      </c>
      <c r="R92" t="str">
        <f t="shared" si="152"/>
        <v>通过</v>
      </c>
      <c r="S92" t="str">
        <f t="shared" si="152"/>
        <v>通过</v>
      </c>
      <c r="T92" t="str">
        <f t="shared" si="152"/>
        <v>通过</v>
      </c>
    </row>
    <row r="93" spans="1:20">
      <c r="A93" t="str">
        <f>"严旭亮"</f>
        <v>严旭亮</v>
      </c>
      <c r="B93" t="str">
        <f>"2117411103037"</f>
        <v>2117411103037</v>
      </c>
      <c r="C93" t="str">
        <f t="shared" si="143"/>
        <v>法学21070</v>
      </c>
      <c r="D93" t="str">
        <f t="shared" si="60"/>
        <v>2021</v>
      </c>
      <c r="E93" t="str">
        <f t="shared" si="128"/>
        <v>东莞电研院</v>
      </c>
      <c r="F93" t="str">
        <f t="shared" si="129"/>
        <v>专升本</v>
      </c>
      <c r="G93" t="str">
        <f t="shared" si="144"/>
        <v>法学</v>
      </c>
      <c r="H93" t="str">
        <f t="shared" si="131"/>
        <v>业余</v>
      </c>
      <c r="I93" t="str">
        <f t="shared" si="145"/>
        <v>荣佳</v>
      </c>
      <c r="J93" t="str">
        <f>"论青少年犯罪的预防"</f>
        <v>论青少年犯罪的预防</v>
      </c>
      <c r="K93" t="str">
        <f>"青少年犯罪"</f>
        <v>青少年犯罪</v>
      </c>
      <c r="L93" t="str">
        <f>"青少年;法律;犯罪"</f>
        <v>青少年;法律;犯罪</v>
      </c>
      <c r="M93" t="str">
        <f t="shared" si="151"/>
        <v>书面答辩</v>
      </c>
      <c r="N93" t="str">
        <f t="shared" si="133"/>
        <v>审核通过</v>
      </c>
      <c r="O93" t="str">
        <f>"黄常喜"</f>
        <v>黄常喜</v>
      </c>
      <c r="P93" t="str">
        <f>"2023-07-03 14:41"</f>
        <v>2023-07-03 14:41</v>
      </c>
      <c r="Q93" t="str">
        <f>"通过"</f>
        <v>通过</v>
      </c>
      <c r="R93" t="str">
        <f>"通过"</f>
        <v>通过</v>
      </c>
      <c r="S93" t="str">
        <f>"不通过"</f>
        <v>不通过</v>
      </c>
      <c r="T93" t="str">
        <f>"未上传"</f>
        <v>未上传</v>
      </c>
    </row>
    <row r="94" spans="1:20">
      <c r="A94" t="str">
        <f>"杨权基"</f>
        <v>杨权基</v>
      </c>
      <c r="B94" t="str">
        <f>"2117411103039"</f>
        <v>2117411103039</v>
      </c>
      <c r="C94" t="str">
        <f t="shared" si="143"/>
        <v>法学21070</v>
      </c>
      <c r="D94" t="str">
        <f t="shared" si="60"/>
        <v>2021</v>
      </c>
      <c r="E94" t="str">
        <f t="shared" si="128"/>
        <v>东莞电研院</v>
      </c>
      <c r="F94" t="str">
        <f t="shared" si="129"/>
        <v>专升本</v>
      </c>
      <c r="G94" t="str">
        <f t="shared" si="144"/>
        <v>法学</v>
      </c>
      <c r="H94" t="str">
        <f t="shared" si="131"/>
        <v>业余</v>
      </c>
      <c r="I94" t="str">
        <f t="shared" si="145"/>
        <v>荣佳</v>
      </c>
      <c r="J94" t="str">
        <f>"论快递服务合同中消费者权益的保护"</f>
        <v>论快递服务合同中消费者权益的保护</v>
      </c>
      <c r="K94" t="str">
        <f>"消费者权益的保护"</f>
        <v>消费者权益的保护</v>
      </c>
      <c r="L94" t="str">
        <f>"快递服务合同;消费者权益;保护消费者"</f>
        <v>快递服务合同;消费者权益;保护消费者</v>
      </c>
      <c r="M94" t="str">
        <f t="shared" si="151"/>
        <v>书面答辩</v>
      </c>
      <c r="N94" t="str">
        <f t="shared" si="133"/>
        <v>审核通过</v>
      </c>
      <c r="O94" t="str">
        <f t="shared" si="149"/>
        <v>荣佳</v>
      </c>
      <c r="P94" t="str">
        <f>"2023-06-29 17:12"</f>
        <v>2023-06-29 17:12</v>
      </c>
      <c r="Q94" t="str">
        <f t="shared" ref="Q94:T94" si="153">"通过"</f>
        <v>通过</v>
      </c>
      <c r="R94" t="str">
        <f t="shared" si="153"/>
        <v>通过</v>
      </c>
      <c r="S94" t="str">
        <f t="shared" si="153"/>
        <v>通过</v>
      </c>
      <c r="T94" t="str">
        <f t="shared" si="153"/>
        <v>通过</v>
      </c>
    </row>
    <row r="95" spans="1:20">
      <c r="A95" t="str">
        <f>"袁玉莲"</f>
        <v>袁玉莲</v>
      </c>
      <c r="B95" t="str">
        <f>"2117411103043"</f>
        <v>2117411103043</v>
      </c>
      <c r="C95" t="str">
        <f t="shared" si="143"/>
        <v>法学21070</v>
      </c>
      <c r="D95" t="str">
        <f t="shared" si="60"/>
        <v>2021</v>
      </c>
      <c r="E95" t="str">
        <f t="shared" si="128"/>
        <v>东莞电研院</v>
      </c>
      <c r="F95" t="str">
        <f t="shared" si="129"/>
        <v>专升本</v>
      </c>
      <c r="G95" t="str">
        <f t="shared" si="144"/>
        <v>法学</v>
      </c>
      <c r="H95" t="str">
        <f t="shared" si="131"/>
        <v>业余</v>
      </c>
      <c r="I95" t="str">
        <f t="shared" si="145"/>
        <v>荣佳</v>
      </c>
      <c r="J95" t="str">
        <f>"论财产的支配关系在法律上的表现"</f>
        <v>论财产的支配关系在法律上的表现</v>
      </c>
      <c r="K95" t="str">
        <f>"财产支配"</f>
        <v>财产支配</v>
      </c>
      <c r="L95" t="str">
        <f>"财产支配;共享;保护"</f>
        <v>财产支配;共享;保护</v>
      </c>
      <c r="M95" t="str">
        <f t="shared" si="151"/>
        <v>书面答辩</v>
      </c>
      <c r="N95" t="str">
        <f t="shared" si="133"/>
        <v>审核通过</v>
      </c>
      <c r="O95" t="str">
        <f>"黄常喜"</f>
        <v>黄常喜</v>
      </c>
      <c r="P95" t="str">
        <f>"2023-07-03 14:49"</f>
        <v>2023-07-03 14:49</v>
      </c>
      <c r="Q95" t="str">
        <f t="shared" ref="Q95:T95" si="154">"通过"</f>
        <v>通过</v>
      </c>
      <c r="R95" t="str">
        <f t="shared" si="154"/>
        <v>通过</v>
      </c>
      <c r="S95" t="str">
        <f t="shared" si="154"/>
        <v>通过</v>
      </c>
      <c r="T95" t="str">
        <f t="shared" si="154"/>
        <v>通过</v>
      </c>
    </row>
    <row r="96" spans="1:20">
      <c r="A96" t="str">
        <f>"陈芷君"</f>
        <v>陈芷君</v>
      </c>
      <c r="B96" t="str">
        <f>"2117411104003"</f>
        <v>2117411104003</v>
      </c>
      <c r="C96" t="str">
        <f t="shared" ref="C96:C101" si="155">"英语21183"</f>
        <v>英语21183</v>
      </c>
      <c r="D96" t="str">
        <f t="shared" si="60"/>
        <v>2021</v>
      </c>
      <c r="E96" t="str">
        <f t="shared" si="128"/>
        <v>东莞电研院</v>
      </c>
      <c r="F96" t="str">
        <f t="shared" si="129"/>
        <v>专升本</v>
      </c>
      <c r="G96" t="str">
        <f t="shared" ref="G96:G101" si="156">"英语"</f>
        <v>英语</v>
      </c>
      <c r="H96" t="str">
        <f t="shared" si="131"/>
        <v>业余</v>
      </c>
      <c r="I96" t="str">
        <f t="shared" ref="I96:I101" si="157">"陈丽兰"</f>
        <v>陈丽兰</v>
      </c>
      <c r="J96" t="str">
        <f>"Cross cultural Pragmatic Failure in Business English Interpretation商务英语口译中的跨文化语用失误"</f>
        <v>Cross cultural Pragmatic Failure in Business English Interpretation商务英语口译中的跨文化语用失误</v>
      </c>
      <c r="K96" t="str">
        <f>"商务沟通"</f>
        <v>商务沟通</v>
      </c>
      <c r="L96" t="str">
        <f>"商务沟通;商务文化;商务情景"</f>
        <v>商务沟通;商务文化;商务情景</v>
      </c>
      <c r="M96" t="str">
        <f t="shared" si="151"/>
        <v>书面答辩</v>
      </c>
      <c r="N96" t="str">
        <f t="shared" si="133"/>
        <v>审核通过</v>
      </c>
      <c r="O96" t="str">
        <f t="shared" ref="O96:O98" si="158">"陈丽兰"</f>
        <v>陈丽兰</v>
      </c>
      <c r="P96" t="str">
        <f>"2023-06-30 22:51"</f>
        <v>2023-06-30 22:51</v>
      </c>
      <c r="Q96" t="str">
        <f>"未审核"</f>
        <v>未审核</v>
      </c>
      <c r="R96" t="str">
        <f t="shared" ref="R96:T96" si="159">"未上传"</f>
        <v>未上传</v>
      </c>
      <c r="S96" t="str">
        <f t="shared" si="159"/>
        <v>未上传</v>
      </c>
      <c r="T96" t="str">
        <f t="shared" si="159"/>
        <v>未上传</v>
      </c>
    </row>
    <row r="97" spans="1:20">
      <c r="A97" t="str">
        <f>"冯芷芹"</f>
        <v>冯芷芹</v>
      </c>
      <c r="B97" t="str">
        <f>"2117411104005"</f>
        <v>2117411104005</v>
      </c>
      <c r="C97" t="str">
        <f t="shared" si="155"/>
        <v>英语21183</v>
      </c>
      <c r="D97" t="str">
        <f t="shared" si="60"/>
        <v>2021</v>
      </c>
      <c r="E97" t="str">
        <f t="shared" si="128"/>
        <v>东莞电研院</v>
      </c>
      <c r="F97" t="str">
        <f t="shared" si="129"/>
        <v>专升本</v>
      </c>
      <c r="G97" t="str">
        <f t="shared" si="156"/>
        <v>英语</v>
      </c>
      <c r="H97" t="str">
        <f t="shared" si="131"/>
        <v>业余</v>
      </c>
      <c r="I97" t="str">
        <f t="shared" si="157"/>
        <v>陈丽兰</v>
      </c>
      <c r="J97" t="str">
        <f>"商业广告翻译的译者主体性研究"</f>
        <v>商业广告翻译的译者主体性研究</v>
      </c>
      <c r="K97" t="str">
        <f>"商业广告"</f>
        <v>商业广告</v>
      </c>
      <c r="L97" t="str">
        <f>"译者;主体性;研究"</f>
        <v>译者;主体性;研究</v>
      </c>
      <c r="M97" t="str">
        <f t="shared" si="151"/>
        <v>书面答辩</v>
      </c>
      <c r="N97" t="str">
        <f t="shared" si="133"/>
        <v>审核通过</v>
      </c>
      <c r="O97" t="str">
        <f t="shared" si="158"/>
        <v>陈丽兰</v>
      </c>
      <c r="P97" t="str">
        <f>"2023-06-29 16:59"</f>
        <v>2023-06-29 16:59</v>
      </c>
      <c r="Q97" t="str">
        <f t="shared" ref="Q97:T97" si="160">"通过"</f>
        <v>通过</v>
      </c>
      <c r="R97" t="str">
        <f t="shared" si="160"/>
        <v>通过</v>
      </c>
      <c r="S97" t="str">
        <f t="shared" si="160"/>
        <v>通过</v>
      </c>
      <c r="T97" t="str">
        <f t="shared" si="160"/>
        <v>通过</v>
      </c>
    </row>
    <row r="98" spans="1:20">
      <c r="A98" t="str">
        <f>"黄颖妍"</f>
        <v>黄颖妍</v>
      </c>
      <c r="B98" t="str">
        <f>"2117411104008"</f>
        <v>2117411104008</v>
      </c>
      <c r="C98" t="str">
        <f t="shared" si="155"/>
        <v>英语21183</v>
      </c>
      <c r="D98" t="str">
        <f t="shared" si="60"/>
        <v>2021</v>
      </c>
      <c r="E98" t="str">
        <f t="shared" si="128"/>
        <v>东莞电研院</v>
      </c>
      <c r="F98" t="str">
        <f t="shared" si="129"/>
        <v>专升本</v>
      </c>
      <c r="G98" t="str">
        <f t="shared" si="156"/>
        <v>英语</v>
      </c>
      <c r="H98" t="str">
        <f t="shared" si="131"/>
        <v>业余</v>
      </c>
      <c r="I98" t="str">
        <f t="shared" si="157"/>
        <v>陈丽兰</v>
      </c>
      <c r="J98" t="str">
        <f>"A study on the barries affecting chinese students' oral fluency"</f>
        <v>A study on the barries affecting chinese students' oral fluency</v>
      </c>
      <c r="K98" t="str">
        <f>"教育学;英语教育"</f>
        <v>教育学;英语教育</v>
      </c>
      <c r="L98" t="str">
        <f>"oral;fluency;speaking"</f>
        <v>oral;fluency;speaking</v>
      </c>
      <c r="M98" t="str">
        <f t="shared" si="151"/>
        <v>书面答辩</v>
      </c>
      <c r="N98" t="str">
        <f t="shared" si="133"/>
        <v>审核通过</v>
      </c>
      <c r="O98" t="str">
        <f t="shared" si="158"/>
        <v>陈丽兰</v>
      </c>
      <c r="P98" t="str">
        <f>"2023-06-30 22:41"</f>
        <v>2023-06-30 22:41</v>
      </c>
      <c r="Q98" t="str">
        <f t="shared" ref="Q98:T98" si="161">"通过"</f>
        <v>通过</v>
      </c>
      <c r="R98" t="str">
        <f t="shared" si="161"/>
        <v>通过</v>
      </c>
      <c r="S98" t="str">
        <f t="shared" si="161"/>
        <v>通过</v>
      </c>
      <c r="T98" t="str">
        <f t="shared" si="161"/>
        <v>通过</v>
      </c>
    </row>
    <row r="99" spans="1:20">
      <c r="A99" t="str">
        <f>"梅堂花"</f>
        <v>梅堂花</v>
      </c>
      <c r="B99" t="str">
        <f>"2117411104017"</f>
        <v>2117411104017</v>
      </c>
      <c r="C99" t="str">
        <f t="shared" si="155"/>
        <v>英语21183</v>
      </c>
      <c r="D99" t="str">
        <f t="shared" si="60"/>
        <v>2021</v>
      </c>
      <c r="E99" t="str">
        <f t="shared" si="128"/>
        <v>东莞电研院</v>
      </c>
      <c r="F99" t="str">
        <f t="shared" si="129"/>
        <v>专升本</v>
      </c>
      <c r="G99" t="str">
        <f t="shared" si="156"/>
        <v>英语</v>
      </c>
      <c r="H99" t="str">
        <f t="shared" si="131"/>
        <v>业余</v>
      </c>
      <c r="I99" t="str">
        <f t="shared" si="157"/>
        <v>陈丽兰</v>
      </c>
      <c r="J99" t="str">
        <f>"浅谈中国历史文化旅游景点英语解译差异和应用"</f>
        <v>浅谈中国历史文化旅游景点英语解译差异和应用</v>
      </c>
      <c r="K99" t="str">
        <f>"翻译"</f>
        <v>翻译</v>
      </c>
      <c r="L99" t="str">
        <f>"翻译;历史文化;推广"</f>
        <v>翻译;历史文化;推广</v>
      </c>
      <c r="M99" t="str">
        <f t="shared" ref="M99:M102" si="162">"书面答辩"</f>
        <v>书面答辩</v>
      </c>
      <c r="N99" t="str">
        <f t="shared" ref="N99:N102" si="163">"审核通过"</f>
        <v>审核通过</v>
      </c>
      <c r="O99" t="str">
        <f t="shared" ref="O99:O101" si="164">"陈丽兰"</f>
        <v>陈丽兰</v>
      </c>
      <c r="P99" t="str">
        <f>"2023-06-29 16:59"</f>
        <v>2023-06-29 16:59</v>
      </c>
      <c r="Q99" t="str">
        <f t="shared" ref="Q99:T99" si="165">"通过"</f>
        <v>通过</v>
      </c>
      <c r="R99" t="str">
        <f t="shared" si="165"/>
        <v>通过</v>
      </c>
      <c r="S99" t="str">
        <f t="shared" si="165"/>
        <v>通过</v>
      </c>
      <c r="T99" t="str">
        <f t="shared" si="165"/>
        <v>通过</v>
      </c>
    </row>
    <row r="100" spans="1:20">
      <c r="A100" t="str">
        <f>"徐玉霞"</f>
        <v>徐玉霞</v>
      </c>
      <c r="B100" t="str">
        <f>"2117411104024"</f>
        <v>2117411104024</v>
      </c>
      <c r="C100" t="str">
        <f t="shared" si="155"/>
        <v>英语21183</v>
      </c>
      <c r="D100" t="str">
        <f t="shared" si="60"/>
        <v>2021</v>
      </c>
      <c r="E100" t="str">
        <f t="shared" si="128"/>
        <v>东莞电研院</v>
      </c>
      <c r="F100" t="str">
        <f t="shared" si="129"/>
        <v>专升本</v>
      </c>
      <c r="G100" t="str">
        <f t="shared" si="156"/>
        <v>英语</v>
      </c>
      <c r="H100" t="str">
        <f t="shared" si="131"/>
        <v>业余</v>
      </c>
      <c r="I100" t="str">
        <f t="shared" si="157"/>
        <v>陈丽兰</v>
      </c>
      <c r="J100" t="str">
        <f>"论新冠疫情对生活的改变而研究分析 Study and analyze the changes of life caused by COVID-19"</f>
        <v>论新冠疫情对生活的改变而研究分析 Study and analyze the changes of life caused by COVID-19</v>
      </c>
      <c r="K100" t="str">
        <f>"病毒影响"</f>
        <v>病毒影响</v>
      </c>
      <c r="L100" t="str">
        <f>"新冠疫情;衣食住行;中美"</f>
        <v>新冠疫情;衣食住行;中美</v>
      </c>
      <c r="M100" t="str">
        <f>"现场答辩"</f>
        <v>现场答辩</v>
      </c>
      <c r="N100" t="str">
        <f t="shared" si="163"/>
        <v>审核通过</v>
      </c>
      <c r="O100" t="str">
        <f t="shared" si="164"/>
        <v>陈丽兰</v>
      </c>
      <c r="P100" t="str">
        <f>"2023-06-29 16:59"</f>
        <v>2023-06-29 16:59</v>
      </c>
      <c r="Q100" t="str">
        <f>"通过"</f>
        <v>通过</v>
      </c>
      <c r="R100" t="str">
        <f>"通过"</f>
        <v>通过</v>
      </c>
      <c r="S100" t="str">
        <f>"未上传"</f>
        <v>未上传</v>
      </c>
      <c r="T100" t="str">
        <f>"未上传"</f>
        <v>未上传</v>
      </c>
    </row>
    <row r="101" spans="1:20">
      <c r="A101" t="str">
        <f>"郑文东"</f>
        <v>郑文东</v>
      </c>
      <c r="B101" t="str">
        <f>"2117411104025"</f>
        <v>2117411104025</v>
      </c>
      <c r="C101" t="str">
        <f t="shared" si="155"/>
        <v>英语21183</v>
      </c>
      <c r="D101" t="str">
        <f t="shared" si="60"/>
        <v>2021</v>
      </c>
      <c r="E101" t="str">
        <f t="shared" si="128"/>
        <v>东莞电研院</v>
      </c>
      <c r="F101" t="str">
        <f t="shared" si="129"/>
        <v>专升本</v>
      </c>
      <c r="G101" t="str">
        <f t="shared" si="156"/>
        <v>英语</v>
      </c>
      <c r="H101" t="str">
        <f t="shared" si="131"/>
        <v>业余</v>
      </c>
      <c r="I101" t="str">
        <f t="shared" si="157"/>
        <v>陈丽兰</v>
      </c>
      <c r="J101" t="str">
        <f>"论中英习语的文化差别"</f>
        <v>论中英习语的文化差别</v>
      </c>
      <c r="K101" t="str">
        <f>"中西习惯的差异"</f>
        <v>中西习惯的差异</v>
      </c>
      <c r="L101" t="str">
        <f>"习语;文化转向;文化翻译"</f>
        <v>习语;文化转向;文化翻译</v>
      </c>
      <c r="M101" t="str">
        <f t="shared" si="162"/>
        <v>书面答辩</v>
      </c>
      <c r="N101" t="str">
        <f t="shared" si="163"/>
        <v>审核通过</v>
      </c>
      <c r="O101" t="str">
        <f t="shared" si="164"/>
        <v>陈丽兰</v>
      </c>
      <c r="P101" t="str">
        <f>"2023-06-29 16:59"</f>
        <v>2023-06-29 16:59</v>
      </c>
      <c r="Q101" t="str">
        <f t="shared" ref="Q101:T101" si="166">"通过"</f>
        <v>通过</v>
      </c>
      <c r="R101" t="str">
        <f t="shared" si="166"/>
        <v>通过</v>
      </c>
      <c r="S101" t="str">
        <f t="shared" si="166"/>
        <v>通过</v>
      </c>
      <c r="T101" t="str">
        <f t="shared" si="166"/>
        <v>通过</v>
      </c>
    </row>
    <row r="102" spans="1:20">
      <c r="A102" t="str">
        <f>"梁伟钊"</f>
        <v>梁伟钊</v>
      </c>
      <c r="B102" t="str">
        <f>"2117411105005"</f>
        <v>2117411105005</v>
      </c>
      <c r="C102" t="str">
        <f>"机械21113"</f>
        <v>机械21113</v>
      </c>
      <c r="D102" t="str">
        <f t="shared" si="60"/>
        <v>2021</v>
      </c>
      <c r="E102" t="str">
        <f t="shared" si="128"/>
        <v>东莞电研院</v>
      </c>
      <c r="F102" t="str">
        <f t="shared" si="129"/>
        <v>专升本</v>
      </c>
      <c r="G102" t="str">
        <f>"机械设计制造及其自动化"</f>
        <v>机械设计制造及其自动化</v>
      </c>
      <c r="H102" t="str">
        <f t="shared" si="131"/>
        <v>业余</v>
      </c>
      <c r="I102" t="str">
        <f>"刘明慧"</f>
        <v>刘明慧</v>
      </c>
      <c r="J102" t="str">
        <f>"交通灯控制系统理论的研究"</f>
        <v>交通灯控制系统理论的研究</v>
      </c>
      <c r="K102" t="str">
        <f>"交通灯，控制系统"</f>
        <v>交通灯，控制系统</v>
      </c>
      <c r="L102" t="str">
        <f>"单片机;LED;Proteus 7 Professional"</f>
        <v>单片机;LED;Proteus 7 Professional</v>
      </c>
      <c r="M102" t="str">
        <f t="shared" si="162"/>
        <v>书面答辩</v>
      </c>
      <c r="N102" t="str">
        <f t="shared" si="163"/>
        <v>审核通过</v>
      </c>
      <c r="O102" t="str">
        <f>"黄常喜"</f>
        <v>黄常喜</v>
      </c>
      <c r="P102" t="str">
        <f>"2023-07-03 14:50"</f>
        <v>2023-07-03 14:50</v>
      </c>
      <c r="Q102" t="str">
        <f t="shared" ref="Q102:T102" si="167">"通过"</f>
        <v>通过</v>
      </c>
      <c r="R102" t="str">
        <f t="shared" si="167"/>
        <v>通过</v>
      </c>
      <c r="S102" t="str">
        <f t="shared" si="167"/>
        <v>通过</v>
      </c>
      <c r="T102" t="str">
        <f t="shared" si="167"/>
        <v>通过</v>
      </c>
    </row>
    <row r="103" spans="1:20">
      <c r="A103" t="str">
        <f>"冯潮光"</f>
        <v>冯潮光</v>
      </c>
      <c r="B103" t="str">
        <f>"2117411106005"</f>
        <v>2117411106005</v>
      </c>
      <c r="C103" t="str">
        <f t="shared" ref="C103:C105" si="168">"电气21023"</f>
        <v>电气21023</v>
      </c>
      <c r="D103" t="str">
        <f t="shared" si="60"/>
        <v>2021</v>
      </c>
      <c r="E103" t="str">
        <f t="shared" si="128"/>
        <v>东莞电研院</v>
      </c>
      <c r="F103" t="str">
        <f t="shared" si="129"/>
        <v>专升本</v>
      </c>
      <c r="G103" t="str">
        <f t="shared" ref="G103:G105" si="169">"电气工程及其自动化"</f>
        <v>电气工程及其自动化</v>
      </c>
      <c r="H103" t="str">
        <f t="shared" si="131"/>
        <v>业余</v>
      </c>
      <c r="I103" t="str">
        <f t="shared" ref="I103:I105" si="170">"蔡宗朝"</f>
        <v>蔡宗朝</v>
      </c>
      <c r="J103" t="str">
        <f>"PLC控制的污水处理系统设计"</f>
        <v>PLC控制的污水处理系统设计</v>
      </c>
      <c r="K103" t="str">
        <f>"电气工程自动化"</f>
        <v>电气工程自动化</v>
      </c>
      <c r="L103" t="str">
        <f>"污水处理系统;PLC;DCS通讯网络"</f>
        <v>污水处理系统;PLC;DCS通讯网络</v>
      </c>
      <c r="M103" t="str">
        <f t="shared" ref="M103:M108" si="171">"书面答辩"</f>
        <v>书面答辩</v>
      </c>
      <c r="N103" t="str">
        <f t="shared" ref="N103:N110" si="172">"审核通过"</f>
        <v>审核通过</v>
      </c>
      <c r="O103" t="str">
        <f t="shared" ref="O103:O105" si="173">"蔡宗朝"</f>
        <v>蔡宗朝</v>
      </c>
      <c r="P103" t="str">
        <f>"2023-06-30 22:31"</f>
        <v>2023-06-30 22:31</v>
      </c>
      <c r="Q103" t="str">
        <f t="shared" ref="Q103:T103" si="174">"通过"</f>
        <v>通过</v>
      </c>
      <c r="R103" t="str">
        <f t="shared" si="174"/>
        <v>通过</v>
      </c>
      <c r="S103" t="str">
        <f t="shared" si="174"/>
        <v>通过</v>
      </c>
      <c r="T103" t="str">
        <f t="shared" si="174"/>
        <v>通过</v>
      </c>
    </row>
    <row r="104" spans="1:20">
      <c r="A104" t="str">
        <f>"唐韵雯"</f>
        <v>唐韵雯</v>
      </c>
      <c r="B104" t="str">
        <f>"2117411106010"</f>
        <v>2117411106010</v>
      </c>
      <c r="C104" t="str">
        <f t="shared" si="168"/>
        <v>电气21023</v>
      </c>
      <c r="D104" t="str">
        <f t="shared" si="60"/>
        <v>2021</v>
      </c>
      <c r="E104" t="str">
        <f t="shared" si="128"/>
        <v>东莞电研院</v>
      </c>
      <c r="F104" t="str">
        <f t="shared" si="129"/>
        <v>专升本</v>
      </c>
      <c r="G104" t="str">
        <f t="shared" si="169"/>
        <v>电气工程及其自动化</v>
      </c>
      <c r="H104" t="str">
        <f t="shared" si="131"/>
        <v>业余</v>
      </c>
      <c r="I104" t="str">
        <f t="shared" si="170"/>
        <v>蔡宗朝</v>
      </c>
      <c r="J104" t="str">
        <f>"电气自动化在电网系统的应用"</f>
        <v>电气自动化在电网系统的应用</v>
      </c>
      <c r="K104" t="str">
        <f>"电气工程中的应用"</f>
        <v>电气工程中的应用</v>
      </c>
      <c r="L104" t="str">
        <f>"电气工程自动化;电网系统;应用"</f>
        <v>电气工程自动化;电网系统;应用</v>
      </c>
      <c r="M104" t="str">
        <f>"现场答辩"</f>
        <v>现场答辩</v>
      </c>
      <c r="N104" t="str">
        <f t="shared" si="172"/>
        <v>审核通过</v>
      </c>
      <c r="O104" t="str">
        <f t="shared" si="173"/>
        <v>蔡宗朝</v>
      </c>
      <c r="P104" t="str">
        <f>"2023-06-30 22:33"</f>
        <v>2023-06-30 22:33</v>
      </c>
      <c r="Q104" t="str">
        <f t="shared" ref="Q104:T104" si="175">"通过"</f>
        <v>通过</v>
      </c>
      <c r="R104" t="str">
        <f t="shared" si="175"/>
        <v>通过</v>
      </c>
      <c r="S104" t="str">
        <f t="shared" si="175"/>
        <v>通过</v>
      </c>
      <c r="T104" t="str">
        <f t="shared" si="175"/>
        <v>通过</v>
      </c>
    </row>
    <row r="105" spans="1:20">
      <c r="A105" t="str">
        <f>"翟德强"</f>
        <v>翟德强</v>
      </c>
      <c r="B105" t="str">
        <f>"2117411106015"</f>
        <v>2117411106015</v>
      </c>
      <c r="C105" t="str">
        <f t="shared" si="168"/>
        <v>电气21023</v>
      </c>
      <c r="D105" t="str">
        <f t="shared" si="60"/>
        <v>2021</v>
      </c>
      <c r="E105" t="str">
        <f t="shared" si="128"/>
        <v>东莞电研院</v>
      </c>
      <c r="F105" t="str">
        <f t="shared" si="129"/>
        <v>专升本</v>
      </c>
      <c r="G105" t="str">
        <f t="shared" si="169"/>
        <v>电气工程及其自动化</v>
      </c>
      <c r="H105" t="str">
        <f t="shared" si="131"/>
        <v>业余</v>
      </c>
      <c r="I105" t="str">
        <f t="shared" si="170"/>
        <v>蔡宗朝</v>
      </c>
      <c r="J105" t="str">
        <f>"建筑电气工程的施工管理问题及对策"</f>
        <v>建筑电气工程的施工管理问题及对策</v>
      </c>
      <c r="K105" t="str">
        <f>"施工管理"</f>
        <v>施工管理</v>
      </c>
      <c r="L105" t="str">
        <f>"建筑工程;电气工程;施工管理;对策"</f>
        <v>建筑工程;电气工程;施工管理;对策</v>
      </c>
      <c r="M105" t="str">
        <f t="shared" si="171"/>
        <v>书面答辩</v>
      </c>
      <c r="N105" t="str">
        <f t="shared" si="172"/>
        <v>审核通过</v>
      </c>
      <c r="O105" t="str">
        <f t="shared" si="173"/>
        <v>蔡宗朝</v>
      </c>
      <c r="P105" t="str">
        <f>"2023-06-29 16:58"</f>
        <v>2023-06-29 16:58</v>
      </c>
      <c r="Q105" t="str">
        <f t="shared" ref="Q105:T105" si="176">"通过"</f>
        <v>通过</v>
      </c>
      <c r="R105" t="str">
        <f t="shared" si="176"/>
        <v>通过</v>
      </c>
      <c r="S105" t="str">
        <f t="shared" si="176"/>
        <v>通过</v>
      </c>
      <c r="T105" t="str">
        <f t="shared" si="176"/>
        <v>通过</v>
      </c>
    </row>
    <row r="106" spans="1:20">
      <c r="A106" t="str">
        <f>"冯键华"</f>
        <v>冯键华</v>
      </c>
      <c r="B106" t="str">
        <f>"2117411107002"</f>
        <v>2117411107002</v>
      </c>
      <c r="C106" t="str">
        <f>"电工21054"</f>
        <v>电工21054</v>
      </c>
      <c r="D106" t="str">
        <f t="shared" ref="D106:D152" si="177">"2021"</f>
        <v>2021</v>
      </c>
      <c r="E106" t="str">
        <f t="shared" si="128"/>
        <v>东莞电研院</v>
      </c>
      <c r="F106" t="str">
        <f t="shared" si="129"/>
        <v>专升本</v>
      </c>
      <c r="G106" t="str">
        <f>"电子信息工程"</f>
        <v>电子信息工程</v>
      </c>
      <c r="H106" t="str">
        <f t="shared" si="131"/>
        <v>业余</v>
      </c>
      <c r="I106" t="str">
        <f>"章明"</f>
        <v>章明</v>
      </c>
      <c r="J106" t="str">
        <f>"浅析电子信息工程技术的应用与发展"</f>
        <v>浅析电子信息工程技术的应用与发展</v>
      </c>
      <c r="K106" t="str">
        <f>"技术应用"</f>
        <v>技术应用</v>
      </c>
      <c r="L106" t="str">
        <f>"电子信息;技术应用;技术发展"</f>
        <v>电子信息;技术应用;技术发展</v>
      </c>
      <c r="M106" t="str">
        <f t="shared" si="171"/>
        <v>书面答辩</v>
      </c>
      <c r="N106" t="str">
        <f t="shared" si="172"/>
        <v>审核通过</v>
      </c>
      <c r="O106" t="str">
        <f>"章明"</f>
        <v>章明</v>
      </c>
      <c r="P106" t="str">
        <f>"2023-06-29 17:13"</f>
        <v>2023-06-29 17:13</v>
      </c>
      <c r="Q106" t="str">
        <f t="shared" ref="Q106:T106" si="178">"通过"</f>
        <v>通过</v>
      </c>
      <c r="R106" t="str">
        <f t="shared" si="178"/>
        <v>通过</v>
      </c>
      <c r="S106" t="str">
        <f t="shared" si="178"/>
        <v>通过</v>
      </c>
      <c r="T106" t="str">
        <f t="shared" si="178"/>
        <v>通过</v>
      </c>
    </row>
    <row r="107" spans="1:20">
      <c r="A107" t="str">
        <f>"王军"</f>
        <v>王军</v>
      </c>
      <c r="B107" t="str">
        <f>"2117411107009"</f>
        <v>2117411107009</v>
      </c>
      <c r="C107" t="str">
        <f>"电工21054"</f>
        <v>电工21054</v>
      </c>
      <c r="D107" t="str">
        <f t="shared" si="177"/>
        <v>2021</v>
      </c>
      <c r="E107" t="str">
        <f t="shared" si="128"/>
        <v>东莞电研院</v>
      </c>
      <c r="F107" t="str">
        <f t="shared" si="129"/>
        <v>专升本</v>
      </c>
      <c r="G107" t="str">
        <f>"电子信息工程"</f>
        <v>电子信息工程</v>
      </c>
      <c r="H107" t="str">
        <f t="shared" si="131"/>
        <v>业余</v>
      </c>
      <c r="I107" t="str">
        <f>"章明"</f>
        <v>章明</v>
      </c>
      <c r="J107" t="str">
        <f>"电动汽车无线充电线圈优化设计与磁屏蔽研究"</f>
        <v>电动汽车无线充电线圈优化设计与磁屏蔽研究</v>
      </c>
      <c r="K107" t="str">
        <f>"无线充电线圈;磁屏蔽研究"</f>
        <v>无线充电线圈;磁屏蔽研究</v>
      </c>
      <c r="L107" t="str">
        <f>"无线充电;线圈优化;磁屏蔽"</f>
        <v>无线充电;线圈优化;磁屏蔽</v>
      </c>
      <c r="M107" t="str">
        <f t="shared" si="171"/>
        <v>书面答辩</v>
      </c>
      <c r="N107" t="str">
        <f t="shared" si="172"/>
        <v>审核通过</v>
      </c>
      <c r="O107" t="str">
        <f>"章明"</f>
        <v>章明</v>
      </c>
      <c r="P107" t="str">
        <f>"2023-06-29 17:14"</f>
        <v>2023-06-29 17:14</v>
      </c>
      <c r="Q107" t="str">
        <f t="shared" ref="Q107:T107" si="179">"通过"</f>
        <v>通过</v>
      </c>
      <c r="R107" t="str">
        <f t="shared" si="179"/>
        <v>通过</v>
      </c>
      <c r="S107" t="str">
        <f t="shared" si="179"/>
        <v>通过</v>
      </c>
      <c r="T107" t="str">
        <f t="shared" si="179"/>
        <v>通过</v>
      </c>
    </row>
    <row r="108" spans="1:20">
      <c r="A108" t="str">
        <f>"陈敏锐"</f>
        <v>陈敏锐</v>
      </c>
      <c r="B108" t="str">
        <f>"2117411111002"</f>
        <v>2117411111002</v>
      </c>
      <c r="C108" t="str">
        <f>"人力21146"</f>
        <v>人力21146</v>
      </c>
      <c r="D108" t="str">
        <f t="shared" si="177"/>
        <v>2021</v>
      </c>
      <c r="E108" t="str">
        <f t="shared" si="128"/>
        <v>东莞电研院</v>
      </c>
      <c r="F108" t="str">
        <f t="shared" si="129"/>
        <v>专升本</v>
      </c>
      <c r="G108" t="str">
        <f>"人力资源管理"</f>
        <v>人力资源管理</v>
      </c>
      <c r="H108" t="str">
        <f t="shared" si="131"/>
        <v>业余</v>
      </c>
      <c r="I108" t="str">
        <f>"黄牧乾"</f>
        <v>黄牧乾</v>
      </c>
      <c r="J108" t="str">
        <f>"研究柔性管理模式在人力资源运行中的作用"</f>
        <v>研究柔性管理模式在人力资源运行中的作用</v>
      </c>
      <c r="K108" t="str">
        <f>"人力资源管理"</f>
        <v>人力资源管理</v>
      </c>
      <c r="L108" t="str">
        <f>"柔性管理;刚性管理;人力资源管理"</f>
        <v>柔性管理;刚性管理;人力资源管理</v>
      </c>
      <c r="M108" t="str">
        <f t="shared" si="171"/>
        <v>书面答辩</v>
      </c>
      <c r="N108" t="str">
        <f t="shared" si="172"/>
        <v>审核通过</v>
      </c>
      <c r="O108" t="str">
        <f>"黄牧乾"</f>
        <v>黄牧乾</v>
      </c>
      <c r="P108" t="str">
        <f>"2023-07-01 18:43"</f>
        <v>2023-07-01 18:43</v>
      </c>
      <c r="Q108" t="str">
        <f t="shared" ref="Q108:T108" si="180">"通过"</f>
        <v>通过</v>
      </c>
      <c r="R108" t="str">
        <f t="shared" si="180"/>
        <v>通过</v>
      </c>
      <c r="S108" t="str">
        <f t="shared" si="180"/>
        <v>通过</v>
      </c>
      <c r="T108" t="str">
        <f t="shared" si="180"/>
        <v>通过</v>
      </c>
    </row>
    <row r="109" spans="1:20">
      <c r="A109" t="str">
        <f>"冯嘉丽"</f>
        <v>冯嘉丽</v>
      </c>
      <c r="B109" t="str">
        <f>"2117411111008"</f>
        <v>2117411111008</v>
      </c>
      <c r="C109" t="str">
        <f>"人力21146"</f>
        <v>人力21146</v>
      </c>
      <c r="D109" t="str">
        <f t="shared" si="177"/>
        <v>2021</v>
      </c>
      <c r="E109" t="str">
        <f t="shared" si="128"/>
        <v>东莞电研院</v>
      </c>
      <c r="F109" t="str">
        <f t="shared" si="129"/>
        <v>专升本</v>
      </c>
      <c r="G109" t="str">
        <f>"人力资源管理"</f>
        <v>人力资源管理</v>
      </c>
      <c r="H109" t="str">
        <f t="shared" si="131"/>
        <v>业余</v>
      </c>
      <c r="I109" t="str">
        <f>"黄牧乾"</f>
        <v>黄牧乾</v>
      </c>
      <c r="J109" t="str">
        <f>"A公司绩效管理存在的问题及对策研究"</f>
        <v>A公司绩效管理存在的问题及对策研究</v>
      </c>
      <c r="K109" t="str">
        <f>"绩效管理"</f>
        <v>绩效管理</v>
      </c>
      <c r="L109" t="str">
        <f>"绩效考核;考核结果;绩效反馈"</f>
        <v>绩效考核;考核结果;绩效反馈</v>
      </c>
      <c r="M109" t="str">
        <f>"现场答辩"</f>
        <v>现场答辩</v>
      </c>
      <c r="N109" t="str">
        <f t="shared" si="172"/>
        <v>审核通过</v>
      </c>
      <c r="O109" t="str">
        <f>"黄牧乾"</f>
        <v>黄牧乾</v>
      </c>
      <c r="P109" t="str">
        <f>"2023-06-29 17:03"</f>
        <v>2023-06-29 17:03</v>
      </c>
      <c r="Q109" t="str">
        <f t="shared" ref="Q109:T109" si="181">"通过"</f>
        <v>通过</v>
      </c>
      <c r="R109" t="str">
        <f t="shared" si="181"/>
        <v>通过</v>
      </c>
      <c r="S109" t="str">
        <f t="shared" si="181"/>
        <v>通过</v>
      </c>
      <c r="T109" t="str">
        <f t="shared" si="181"/>
        <v>通过</v>
      </c>
    </row>
    <row r="110" spans="1:20">
      <c r="A110" t="str">
        <f>"卢迪妍"</f>
        <v>卢迪妍</v>
      </c>
      <c r="B110" t="str">
        <f>"2117411111019"</f>
        <v>2117411111019</v>
      </c>
      <c r="C110" t="str">
        <f>"人力21146"</f>
        <v>人力21146</v>
      </c>
      <c r="D110" t="str">
        <f t="shared" si="177"/>
        <v>2021</v>
      </c>
      <c r="E110" t="str">
        <f t="shared" si="128"/>
        <v>东莞电研院</v>
      </c>
      <c r="F110" t="str">
        <f t="shared" si="129"/>
        <v>专升本</v>
      </c>
      <c r="G110" t="str">
        <f>"人力资源管理"</f>
        <v>人力资源管理</v>
      </c>
      <c r="H110" t="str">
        <f t="shared" si="131"/>
        <v>业余</v>
      </c>
      <c r="I110" t="str">
        <f>"黄牧乾"</f>
        <v>黄牧乾</v>
      </c>
      <c r="J110" t="str">
        <f>"劳动关系中存在的问题与对策分析"</f>
        <v>劳动关系中存在的问题与对策分析</v>
      </c>
      <c r="K110" t="str">
        <f>"现代劳动"</f>
        <v>现代劳动</v>
      </c>
      <c r="L110" t="str">
        <f>"劳动法;工资;劳动者权利"</f>
        <v>劳动法;工资;劳动者权利</v>
      </c>
      <c r="M110" t="str">
        <f>"书面答辩"</f>
        <v>书面答辩</v>
      </c>
      <c r="N110" t="str">
        <f t="shared" si="172"/>
        <v>审核通过</v>
      </c>
      <c r="O110" t="str">
        <f>"黄牧乾"</f>
        <v>黄牧乾</v>
      </c>
      <c r="P110" t="str">
        <f>"2023-06-29 17:03"</f>
        <v>2023-06-29 17:03</v>
      </c>
      <c r="Q110" t="str">
        <f t="shared" ref="Q110:T110" si="182">"通过"</f>
        <v>通过</v>
      </c>
      <c r="R110" t="str">
        <f t="shared" si="182"/>
        <v>通过</v>
      </c>
      <c r="S110" t="str">
        <f t="shared" si="182"/>
        <v>通过</v>
      </c>
      <c r="T110" t="str">
        <f t="shared" si="182"/>
        <v>通过</v>
      </c>
    </row>
    <row r="111" spans="1:20">
      <c r="A111" t="str">
        <f>"许彩耀"</f>
        <v>许彩耀</v>
      </c>
      <c r="B111" t="str">
        <f>"2117411114011"</f>
        <v>2117411114011</v>
      </c>
      <c r="C111" t="str">
        <f>"电商21037"</f>
        <v>电商21037</v>
      </c>
      <c r="D111" t="str">
        <f t="shared" si="177"/>
        <v>2021</v>
      </c>
      <c r="E111" t="str">
        <f t="shared" si="128"/>
        <v>东莞电研院</v>
      </c>
      <c r="F111" t="str">
        <f t="shared" si="129"/>
        <v>专升本</v>
      </c>
      <c r="G111" t="str">
        <f>"电子商务"</f>
        <v>电子商务</v>
      </c>
      <c r="H111" t="str">
        <f t="shared" si="131"/>
        <v>业余</v>
      </c>
      <c r="I111" t="str">
        <f>"戴锡伟"</f>
        <v>戴锡伟</v>
      </c>
      <c r="J111" t="str">
        <f>"完美日记电子商务营销策略分析"</f>
        <v>完美日记电子商务营销策略分析</v>
      </c>
      <c r="K111" t="str">
        <f>"电子商务;营销策略"</f>
        <v>电子商务;营销策略</v>
      </c>
      <c r="L111" t="str">
        <f>"完美日记;电子商务;营销策略"</f>
        <v>完美日记;电子商务;营销策略</v>
      </c>
      <c r="M111" t="str">
        <f>"现场答辩"</f>
        <v>现场答辩</v>
      </c>
      <c r="N111" t="str">
        <f t="shared" ref="N111:N115" si="183">"审核通过"</f>
        <v>审核通过</v>
      </c>
      <c r="O111" t="str">
        <f t="shared" ref="O111:O113" si="184">"戴锡伟"</f>
        <v>戴锡伟</v>
      </c>
      <c r="P111" t="str">
        <f>"2023-06-29 17:00"</f>
        <v>2023-06-29 17:00</v>
      </c>
      <c r="Q111" t="str">
        <f t="shared" ref="Q111:T111" si="185">"通过"</f>
        <v>通过</v>
      </c>
      <c r="R111" t="str">
        <f t="shared" si="185"/>
        <v>通过</v>
      </c>
      <c r="S111" t="str">
        <f t="shared" si="185"/>
        <v>通过</v>
      </c>
      <c r="T111" t="str">
        <f t="shared" si="185"/>
        <v>通过</v>
      </c>
    </row>
    <row r="112" spans="1:20">
      <c r="A112" t="str">
        <f>"张子逸"</f>
        <v>张子逸</v>
      </c>
      <c r="B112" t="str">
        <f>"2117411114013"</f>
        <v>2117411114013</v>
      </c>
      <c r="C112" t="str">
        <f>"电商21037"</f>
        <v>电商21037</v>
      </c>
      <c r="D112" t="str">
        <f t="shared" si="177"/>
        <v>2021</v>
      </c>
      <c r="E112" t="str">
        <f t="shared" si="128"/>
        <v>东莞电研院</v>
      </c>
      <c r="F112" t="str">
        <f t="shared" si="129"/>
        <v>专升本</v>
      </c>
      <c r="G112" t="str">
        <f>"电子商务"</f>
        <v>电子商务</v>
      </c>
      <c r="H112" t="str">
        <f t="shared" si="131"/>
        <v>业余</v>
      </c>
      <c r="I112" t="str">
        <f>"戴锡伟"</f>
        <v>戴锡伟</v>
      </c>
      <c r="J112" t="str">
        <f>"我国电子商务发展的特点与趋势"</f>
        <v>我国电子商务发展的特点与趋势</v>
      </c>
      <c r="K112" t="str">
        <f>"电子商务"</f>
        <v>电子商务</v>
      </c>
      <c r="L112" t="str">
        <f>"电商;特点;趋势"</f>
        <v>电商;特点;趋势</v>
      </c>
      <c r="M112" t="str">
        <f>"书面答辩"</f>
        <v>书面答辩</v>
      </c>
      <c r="N112" t="str">
        <f t="shared" si="183"/>
        <v>审核通过</v>
      </c>
      <c r="O112" t="str">
        <f t="shared" si="184"/>
        <v>戴锡伟</v>
      </c>
      <c r="P112" t="str">
        <f>"2023-06-30 22:55"</f>
        <v>2023-06-30 22:55</v>
      </c>
      <c r="Q112" t="str">
        <f t="shared" ref="Q112:T112" si="186">"通过"</f>
        <v>通过</v>
      </c>
      <c r="R112" t="str">
        <f t="shared" si="186"/>
        <v>通过</v>
      </c>
      <c r="S112" t="str">
        <f t="shared" si="186"/>
        <v>通过</v>
      </c>
      <c r="T112" t="str">
        <f t="shared" si="186"/>
        <v>通过</v>
      </c>
    </row>
    <row r="113" spans="1:20">
      <c r="A113" t="str">
        <f>"赵悦"</f>
        <v>赵悦</v>
      </c>
      <c r="B113" t="str">
        <f>"2117411114014"</f>
        <v>2117411114014</v>
      </c>
      <c r="C113" t="str">
        <f>"电商21037"</f>
        <v>电商21037</v>
      </c>
      <c r="D113" t="str">
        <f t="shared" si="177"/>
        <v>2021</v>
      </c>
      <c r="E113" t="str">
        <f t="shared" si="128"/>
        <v>东莞电研院</v>
      </c>
      <c r="F113" t="str">
        <f t="shared" si="129"/>
        <v>专升本</v>
      </c>
      <c r="G113" t="str">
        <f>"电子商务"</f>
        <v>电子商务</v>
      </c>
      <c r="H113" t="str">
        <f t="shared" si="131"/>
        <v>业余</v>
      </c>
      <c r="I113" t="str">
        <f>"戴锡伟"</f>
        <v>戴锡伟</v>
      </c>
      <c r="J113" t="str">
        <f>"电子商务下农产品互联网营销研究"</f>
        <v>电子商务下农产品互联网营销研究</v>
      </c>
      <c r="K113" t="str">
        <f>"农产品电子营销"</f>
        <v>农产品电子营销</v>
      </c>
      <c r="L113" t="str">
        <f>"互联网;农产品;营销"</f>
        <v>互联网;农产品;营销</v>
      </c>
      <c r="M113" t="str">
        <f>"书面答辩"</f>
        <v>书面答辩</v>
      </c>
      <c r="N113" t="str">
        <f t="shared" si="183"/>
        <v>审核通过</v>
      </c>
      <c r="O113" t="str">
        <f t="shared" si="184"/>
        <v>戴锡伟</v>
      </c>
      <c r="P113" t="str">
        <f>"2023-06-29 17:00"</f>
        <v>2023-06-29 17:00</v>
      </c>
      <c r="Q113" t="str">
        <f t="shared" ref="Q113:T113" si="187">"通过"</f>
        <v>通过</v>
      </c>
      <c r="R113" t="str">
        <f t="shared" si="187"/>
        <v>通过</v>
      </c>
      <c r="S113" t="str">
        <f t="shared" si="187"/>
        <v>通过</v>
      </c>
      <c r="T113" t="str">
        <f t="shared" si="187"/>
        <v>通过</v>
      </c>
    </row>
    <row r="114" spans="1:20">
      <c r="A114" t="str">
        <f>"方楚沛"</f>
        <v>方楚沛</v>
      </c>
      <c r="B114" t="str">
        <f>"2117411115004"</f>
        <v>2117411115004</v>
      </c>
      <c r="C114" t="str">
        <f>"视觉传达21159"</f>
        <v>视觉传达21159</v>
      </c>
      <c r="D114" t="str">
        <f t="shared" si="177"/>
        <v>2021</v>
      </c>
      <c r="E114" t="str">
        <f t="shared" si="128"/>
        <v>东莞电研院</v>
      </c>
      <c r="F114" t="str">
        <f t="shared" si="129"/>
        <v>专升本</v>
      </c>
      <c r="G114" t="str">
        <f>"视觉传达设计"</f>
        <v>视觉传达设计</v>
      </c>
      <c r="H114" t="str">
        <f t="shared" si="131"/>
        <v>业余</v>
      </c>
      <c r="I114" t="str">
        <f>"庄伟"</f>
        <v>庄伟</v>
      </c>
      <c r="J114" t="str">
        <f>"AIGC工具对视觉传达设计生产关系的影响"</f>
        <v>AIGC工具对视觉传达设计生产关系的影响</v>
      </c>
      <c r="K114" t="str">
        <f>"工具视觉传达设计"</f>
        <v>工具视觉传达设计</v>
      </c>
      <c r="L114" t="str">
        <f>"平面设计;设计迭代;人工智能;设计智能"</f>
        <v>平面设计;设计迭代;人工智能;设计智能</v>
      </c>
      <c r="M114" t="str">
        <f>"书面答辩"</f>
        <v>书面答辩</v>
      </c>
      <c r="N114" t="str">
        <f t="shared" si="183"/>
        <v>审核通过</v>
      </c>
      <c r="O114" t="str">
        <f>"庄伟"</f>
        <v>庄伟</v>
      </c>
      <c r="P114" t="str">
        <f>"2023-06-30 16:48"</f>
        <v>2023-06-30 16:48</v>
      </c>
      <c r="Q114" t="str">
        <f t="shared" ref="Q114:T114" si="188">"通过"</f>
        <v>通过</v>
      </c>
      <c r="R114" t="str">
        <f t="shared" si="188"/>
        <v>通过</v>
      </c>
      <c r="S114" t="str">
        <f t="shared" si="188"/>
        <v>通过</v>
      </c>
      <c r="T114" t="str">
        <f t="shared" si="188"/>
        <v>通过</v>
      </c>
    </row>
    <row r="115" spans="1:20">
      <c r="A115" t="str">
        <f>"黄海涛"</f>
        <v>黄海涛</v>
      </c>
      <c r="B115" t="str">
        <f>"2117411115008"</f>
        <v>2117411115008</v>
      </c>
      <c r="C115" t="str">
        <f>"视觉传达21159"</f>
        <v>视觉传达21159</v>
      </c>
      <c r="D115" t="str">
        <f t="shared" si="177"/>
        <v>2021</v>
      </c>
      <c r="E115" t="str">
        <f t="shared" si="128"/>
        <v>东莞电研院</v>
      </c>
      <c r="F115" t="str">
        <f t="shared" si="129"/>
        <v>专升本</v>
      </c>
      <c r="G115" t="str">
        <f>"视觉传达设计"</f>
        <v>视觉传达设计</v>
      </c>
      <c r="H115" t="str">
        <f t="shared" si="131"/>
        <v>业余</v>
      </c>
      <c r="I115" t="str">
        <f>"庄伟"</f>
        <v>庄伟</v>
      </c>
      <c r="J115" t="str">
        <f>"产品设计中外观与成本的研究"</f>
        <v>产品设计中外观与成本的研究</v>
      </c>
      <c r="K115" t="str">
        <f>"产品设计"</f>
        <v>产品设计</v>
      </c>
      <c r="L115" t="str">
        <f>"产品;设计;外观;成本"</f>
        <v>产品;设计;外观;成本</v>
      </c>
      <c r="M115" t="str">
        <f>"书面答辩"</f>
        <v>书面答辩</v>
      </c>
      <c r="N115" t="str">
        <f t="shared" si="183"/>
        <v>审核通过</v>
      </c>
      <c r="O115" t="str">
        <f>"庄伟"</f>
        <v>庄伟</v>
      </c>
      <c r="P115" t="str">
        <f>"2023-06-29 17:15"</f>
        <v>2023-06-29 17:15</v>
      </c>
      <c r="Q115" t="str">
        <f t="shared" ref="Q115:T115" si="189">"通过"</f>
        <v>通过</v>
      </c>
      <c r="R115" t="str">
        <f t="shared" si="189"/>
        <v>通过</v>
      </c>
      <c r="S115" t="str">
        <f t="shared" si="189"/>
        <v>通过</v>
      </c>
      <c r="T115" t="str">
        <f t="shared" si="189"/>
        <v>通过</v>
      </c>
    </row>
    <row r="116" spans="1:20">
      <c r="A116" t="str">
        <f>"吴其辉"</f>
        <v>吴其辉</v>
      </c>
      <c r="B116" t="str">
        <f>"2117411115021"</f>
        <v>2117411115021</v>
      </c>
      <c r="C116" t="str">
        <f>"视觉传达21159"</f>
        <v>视觉传达21159</v>
      </c>
      <c r="D116" t="str">
        <f t="shared" si="177"/>
        <v>2021</v>
      </c>
      <c r="E116" t="str">
        <f t="shared" si="128"/>
        <v>东莞电研院</v>
      </c>
      <c r="F116" t="str">
        <f t="shared" si="129"/>
        <v>专升本</v>
      </c>
      <c r="G116" t="str">
        <f>"视觉传达设计"</f>
        <v>视觉传达设计</v>
      </c>
      <c r="H116" t="str">
        <f t="shared" si="131"/>
        <v>业余</v>
      </c>
      <c r="I116" t="str">
        <f>"庄伟"</f>
        <v>庄伟</v>
      </c>
      <c r="J116" t="str">
        <f>"电影海报的视觉传达研究"</f>
        <v>电影海报的视觉传达研究</v>
      </c>
      <c r="K116" t="str">
        <f>"电影海报的类型;电影海报的氛围"</f>
        <v>电影海报的类型;电影海报的氛围</v>
      </c>
      <c r="L116" t="str">
        <f>"电影海报;色彩;字体"</f>
        <v>电影海报;色彩;字体</v>
      </c>
      <c r="M116" t="str">
        <f>"书面答辩"</f>
        <v>书面答辩</v>
      </c>
      <c r="N116" t="str">
        <f t="shared" ref="N116:N118" si="190">"审核通过"</f>
        <v>审核通过</v>
      </c>
      <c r="O116" t="str">
        <f>"黄常喜"</f>
        <v>黄常喜</v>
      </c>
      <c r="P116" t="str">
        <f>"2023-06-30 15:23"</f>
        <v>2023-06-30 15:23</v>
      </c>
      <c r="Q116" t="str">
        <f>"通过"</f>
        <v>通过</v>
      </c>
      <c r="R116" t="str">
        <f>"通过"</f>
        <v>通过</v>
      </c>
      <c r="S116" t="str">
        <f>"未上传"</f>
        <v>未上传</v>
      </c>
      <c r="T116" t="str">
        <f>"未上传"</f>
        <v>未上传</v>
      </c>
    </row>
    <row r="117" spans="1:20">
      <c r="A117" t="str">
        <f>"郑心怡"</f>
        <v>郑心怡</v>
      </c>
      <c r="B117" t="str">
        <f>"2117411115027"</f>
        <v>2117411115027</v>
      </c>
      <c r="C117" t="str">
        <f>"视觉传达21159"</f>
        <v>视觉传达21159</v>
      </c>
      <c r="D117" t="str">
        <f t="shared" si="177"/>
        <v>2021</v>
      </c>
      <c r="E117" t="str">
        <f t="shared" si="128"/>
        <v>东莞电研院</v>
      </c>
      <c r="F117" t="str">
        <f t="shared" si="129"/>
        <v>专升本</v>
      </c>
      <c r="G117" t="str">
        <f>"视觉传达设计"</f>
        <v>视觉传达设计</v>
      </c>
      <c r="H117" t="str">
        <f t="shared" si="131"/>
        <v>业余</v>
      </c>
      <c r="I117" t="str">
        <f>"庄伟"</f>
        <v>庄伟</v>
      </c>
      <c r="J117" t="str">
        <f>"从视觉传达的角度对新媒体时代广告的探究"</f>
        <v>从视觉传达的角度对新媒体时代广告的探究</v>
      </c>
      <c r="K117" t="str">
        <f>"视觉传达;新媒体时代"</f>
        <v>视觉传达;新媒体时代</v>
      </c>
      <c r="L117" t="str">
        <f>"视觉传达;新媒体时代;商业广告"</f>
        <v>视觉传达;新媒体时代;商业广告</v>
      </c>
      <c r="M117" t="str">
        <f>"现场答辩"</f>
        <v>现场答辩</v>
      </c>
      <c r="N117" t="str">
        <f t="shared" si="190"/>
        <v>审核通过</v>
      </c>
      <c r="O117" t="str">
        <f>"庄伟"</f>
        <v>庄伟</v>
      </c>
      <c r="P117" t="str">
        <f>"2023-07-01 18:54"</f>
        <v>2023-07-01 18:54</v>
      </c>
      <c r="Q117" t="str">
        <f t="shared" ref="Q117:T117" si="191">"通过"</f>
        <v>通过</v>
      </c>
      <c r="R117" t="str">
        <f t="shared" si="191"/>
        <v>通过</v>
      </c>
      <c r="S117" t="str">
        <f t="shared" si="191"/>
        <v>通过</v>
      </c>
      <c r="T117" t="str">
        <f t="shared" si="191"/>
        <v>通过</v>
      </c>
    </row>
    <row r="118" spans="1:20">
      <c r="A118" t="str">
        <f>"陈美君"</f>
        <v>陈美君</v>
      </c>
      <c r="B118" t="str">
        <f>"2117412116003"</f>
        <v>2117412116003</v>
      </c>
      <c r="C118" t="str">
        <f t="shared" ref="C118:C123" si="192">"财管21196"</f>
        <v>财管21196</v>
      </c>
      <c r="D118" t="str">
        <f t="shared" si="177"/>
        <v>2021</v>
      </c>
      <c r="E118" t="str">
        <f t="shared" si="128"/>
        <v>东莞电研院</v>
      </c>
      <c r="F118" t="str">
        <f t="shared" si="129"/>
        <v>专升本</v>
      </c>
      <c r="G118" t="str">
        <f t="shared" ref="G118:G123" si="193">"财务管理"</f>
        <v>财务管理</v>
      </c>
      <c r="H118" t="str">
        <f t="shared" ref="H118:H152" si="194">"函授"</f>
        <v>函授</v>
      </c>
      <c r="I118" t="str">
        <f t="shared" ref="I118:I123" si="195">"何玉冰"</f>
        <v>何玉冰</v>
      </c>
      <c r="J118" t="str">
        <f>"JH纺织公司存货内部控制存在问题及对策探究"</f>
        <v>JH纺织公司存货内部控制存在问题及对策探究</v>
      </c>
      <c r="K118" t="str">
        <f>"存货管理"</f>
        <v>存货管理</v>
      </c>
      <c r="L118" t="str">
        <f>"内部控制;存货内部控制;存货管理"</f>
        <v>内部控制;存货内部控制;存货管理</v>
      </c>
      <c r="M118" t="str">
        <f>"书面答辩"</f>
        <v>书面答辩</v>
      </c>
      <c r="N118" t="str">
        <f t="shared" si="190"/>
        <v>审核通过</v>
      </c>
      <c r="O118" t="str">
        <f t="shared" ref="O118:O123" si="196">"何玉冰"</f>
        <v>何玉冰</v>
      </c>
      <c r="P118" t="str">
        <f>"2023-06-29 17:01"</f>
        <v>2023-06-29 17:01</v>
      </c>
      <c r="Q118" t="str">
        <f t="shared" ref="Q118:T118" si="197">"通过"</f>
        <v>通过</v>
      </c>
      <c r="R118" t="str">
        <f t="shared" si="197"/>
        <v>通过</v>
      </c>
      <c r="S118" t="str">
        <f t="shared" si="197"/>
        <v>通过</v>
      </c>
      <c r="T118" t="str">
        <f t="shared" si="197"/>
        <v>通过</v>
      </c>
    </row>
    <row r="119" spans="1:20">
      <c r="A119" t="str">
        <f>"黄家莹"</f>
        <v>黄家莹</v>
      </c>
      <c r="B119" t="str">
        <f>"2117412116007"</f>
        <v>2117412116007</v>
      </c>
      <c r="C119" t="str">
        <f t="shared" si="192"/>
        <v>财管21196</v>
      </c>
      <c r="D119" t="str">
        <f t="shared" si="177"/>
        <v>2021</v>
      </c>
      <c r="E119" t="str">
        <f t="shared" si="128"/>
        <v>东莞电研院</v>
      </c>
      <c r="F119" t="str">
        <f t="shared" si="129"/>
        <v>专升本</v>
      </c>
      <c r="G119" t="str">
        <f t="shared" si="193"/>
        <v>财务管理</v>
      </c>
      <c r="H119" t="str">
        <f t="shared" si="194"/>
        <v>函授</v>
      </c>
      <c r="I119" t="str">
        <f t="shared" si="195"/>
        <v>何玉冰</v>
      </c>
      <c r="J119" t="str">
        <f>"江龙船艇股份有限公司财务报表分析"</f>
        <v>江龙船艇股份有限公司财务报表分析</v>
      </c>
      <c r="K119" t="str">
        <f>"公司财务报表"</f>
        <v>公司财务报表</v>
      </c>
      <c r="L119" t="str">
        <f>"财务;管理;数据"</f>
        <v>财务;管理;数据</v>
      </c>
      <c r="M119" t="str">
        <f>"书面答辩"</f>
        <v>书面答辩</v>
      </c>
      <c r="N119" t="str">
        <f t="shared" ref="N119:N121" si="198">"审核通过"</f>
        <v>审核通过</v>
      </c>
      <c r="O119" t="str">
        <f t="shared" si="196"/>
        <v>何玉冰</v>
      </c>
      <c r="P119" t="str">
        <f>"2023-06-30 22:55"</f>
        <v>2023-06-30 22:55</v>
      </c>
      <c r="Q119" t="str">
        <f t="shared" ref="Q119:T119" si="199">"通过"</f>
        <v>通过</v>
      </c>
      <c r="R119" t="str">
        <f t="shared" si="199"/>
        <v>通过</v>
      </c>
      <c r="S119" t="str">
        <f t="shared" si="199"/>
        <v>通过</v>
      </c>
      <c r="T119" t="str">
        <f t="shared" si="199"/>
        <v>通过</v>
      </c>
    </row>
    <row r="120" spans="1:20">
      <c r="A120" t="str">
        <f>"黄俭梅"</f>
        <v>黄俭梅</v>
      </c>
      <c r="B120" t="str">
        <f>"2117412116008"</f>
        <v>2117412116008</v>
      </c>
      <c r="C120" t="str">
        <f t="shared" si="192"/>
        <v>财管21196</v>
      </c>
      <c r="D120" t="str">
        <f t="shared" si="177"/>
        <v>2021</v>
      </c>
      <c r="E120" t="str">
        <f t="shared" si="128"/>
        <v>东莞电研院</v>
      </c>
      <c r="F120" t="str">
        <f t="shared" si="129"/>
        <v>专升本</v>
      </c>
      <c r="G120" t="str">
        <f t="shared" si="193"/>
        <v>财务管理</v>
      </c>
      <c r="H120" t="str">
        <f t="shared" si="194"/>
        <v>函授</v>
      </c>
      <c r="I120" t="str">
        <f t="shared" si="195"/>
        <v>何玉冰</v>
      </c>
      <c r="J120" t="str">
        <f>"中小企业如何吸引人才——以佳信有限公司为例"</f>
        <v>中小企业如何吸引人才——以佳信有限公司为例</v>
      </c>
      <c r="K120" t="str">
        <f>"吸引人才"</f>
        <v>吸引人才</v>
      </c>
      <c r="L120" t="str">
        <f>"专业化;职业化;激励机制;中小型服务业企业"</f>
        <v>专业化;职业化;激励机制;中小型服务业企业</v>
      </c>
      <c r="M120" t="str">
        <f>"书面答辩"</f>
        <v>书面答辩</v>
      </c>
      <c r="N120" t="str">
        <f t="shared" si="198"/>
        <v>审核通过</v>
      </c>
      <c r="O120" t="str">
        <f t="shared" si="196"/>
        <v>何玉冰</v>
      </c>
      <c r="P120" t="str">
        <f>"2023-06-29 17:02"</f>
        <v>2023-06-29 17:02</v>
      </c>
      <c r="Q120" t="str">
        <f t="shared" ref="Q120:T120" si="200">"通过"</f>
        <v>通过</v>
      </c>
      <c r="R120" t="str">
        <f t="shared" si="200"/>
        <v>通过</v>
      </c>
      <c r="S120" t="str">
        <f t="shared" si="200"/>
        <v>通过</v>
      </c>
      <c r="T120" t="str">
        <f t="shared" si="200"/>
        <v>通过</v>
      </c>
    </row>
    <row r="121" spans="1:20">
      <c r="A121" t="str">
        <f>"黄小红"</f>
        <v>黄小红</v>
      </c>
      <c r="B121" t="str">
        <f>"2117412116011"</f>
        <v>2117412116011</v>
      </c>
      <c r="C121" t="str">
        <f t="shared" si="192"/>
        <v>财管21196</v>
      </c>
      <c r="D121" t="str">
        <f t="shared" si="177"/>
        <v>2021</v>
      </c>
      <c r="E121" t="str">
        <f t="shared" si="128"/>
        <v>东莞电研院</v>
      </c>
      <c r="F121" t="str">
        <f t="shared" si="129"/>
        <v>专升本</v>
      </c>
      <c r="G121" t="str">
        <f t="shared" si="193"/>
        <v>财务管理</v>
      </c>
      <c r="H121" t="str">
        <f t="shared" si="194"/>
        <v>函授</v>
      </c>
      <c r="I121" t="str">
        <f t="shared" si="195"/>
        <v>何玉冰</v>
      </c>
      <c r="J121" t="str">
        <f>"关于中小型企业财务管理分析及存在问题"</f>
        <v>关于中小型企业财务管理分析及存在问题</v>
      </c>
      <c r="K121" t="str">
        <f>"财务管理"</f>
        <v>财务管理</v>
      </c>
      <c r="L121" t="str">
        <f>"中小企业;财务管理;财务管理质量"</f>
        <v>中小企业;财务管理;财务管理质量</v>
      </c>
      <c r="M121" t="str">
        <f>"书面答辩"</f>
        <v>书面答辩</v>
      </c>
      <c r="N121" t="str">
        <f t="shared" si="198"/>
        <v>审核通过</v>
      </c>
      <c r="O121" t="str">
        <f t="shared" si="196"/>
        <v>何玉冰</v>
      </c>
      <c r="P121" t="str">
        <f>"2023-06-29 17:02"</f>
        <v>2023-06-29 17:02</v>
      </c>
      <c r="Q121" t="str">
        <f t="shared" ref="Q121:T121" si="201">"通过"</f>
        <v>通过</v>
      </c>
      <c r="R121" t="str">
        <f t="shared" si="201"/>
        <v>通过</v>
      </c>
      <c r="S121" t="str">
        <f t="shared" si="201"/>
        <v>通过</v>
      </c>
      <c r="T121" t="str">
        <f t="shared" si="201"/>
        <v>通过</v>
      </c>
    </row>
    <row r="122" spans="1:20">
      <c r="A122" t="str">
        <f>"吴清华"</f>
        <v>吴清华</v>
      </c>
      <c r="B122" t="str">
        <f>"2117412116022"</f>
        <v>2117412116022</v>
      </c>
      <c r="C122" t="str">
        <f t="shared" si="192"/>
        <v>财管21196</v>
      </c>
      <c r="D122" t="str">
        <f t="shared" si="177"/>
        <v>2021</v>
      </c>
      <c r="E122" t="str">
        <f t="shared" si="128"/>
        <v>东莞电研院</v>
      </c>
      <c r="F122" t="str">
        <f t="shared" si="129"/>
        <v>专升本</v>
      </c>
      <c r="G122" t="str">
        <f t="shared" si="193"/>
        <v>财务管理</v>
      </c>
      <c r="H122" t="str">
        <f t="shared" si="194"/>
        <v>函授</v>
      </c>
      <c r="I122" t="str">
        <f t="shared" si="195"/>
        <v>何玉冰</v>
      </c>
      <c r="J122" t="str">
        <f>"企业财务风险分析与防范"</f>
        <v>企业财务风险分析与防范</v>
      </c>
      <c r="K122" t="str">
        <f>"企业财务风险分析;企业财务风险防范"</f>
        <v>企业财务风险分析;企业财务风险防范</v>
      </c>
      <c r="L122" t="str">
        <f>"财务风险;财务分析;风险因素;偿债能力"</f>
        <v>财务风险;财务分析;风险因素;偿债能力</v>
      </c>
      <c r="M122" t="str">
        <f t="shared" ref="M122:M125" si="202">"书面答辩"</f>
        <v>书面答辩</v>
      </c>
      <c r="N122" t="str">
        <f t="shared" ref="N122:N130" si="203">"审核通过"</f>
        <v>审核通过</v>
      </c>
      <c r="O122" t="str">
        <f t="shared" si="196"/>
        <v>何玉冰</v>
      </c>
      <c r="P122" t="str">
        <f>"2023-06-29 17:02"</f>
        <v>2023-06-29 17:02</v>
      </c>
      <c r="Q122" t="str">
        <f t="shared" ref="Q122:T122" si="204">"通过"</f>
        <v>通过</v>
      </c>
      <c r="R122" t="str">
        <f t="shared" si="204"/>
        <v>通过</v>
      </c>
      <c r="S122" t="str">
        <f t="shared" si="204"/>
        <v>通过</v>
      </c>
      <c r="T122" t="str">
        <f t="shared" si="204"/>
        <v>通过</v>
      </c>
    </row>
    <row r="123" spans="1:20">
      <c r="A123" t="str">
        <f>"郑冬仪"</f>
        <v>郑冬仪</v>
      </c>
      <c r="B123" t="str">
        <f>"2117412116027"</f>
        <v>2117412116027</v>
      </c>
      <c r="C123" t="str">
        <f t="shared" si="192"/>
        <v>财管21196</v>
      </c>
      <c r="D123" t="str">
        <f t="shared" si="177"/>
        <v>2021</v>
      </c>
      <c r="E123" t="str">
        <f t="shared" si="128"/>
        <v>东莞电研院</v>
      </c>
      <c r="F123" t="str">
        <f t="shared" si="129"/>
        <v>专升本</v>
      </c>
      <c r="G123" t="str">
        <f t="shared" si="193"/>
        <v>财务管理</v>
      </c>
      <c r="H123" t="str">
        <f t="shared" si="194"/>
        <v>函授</v>
      </c>
      <c r="I123" t="str">
        <f t="shared" si="195"/>
        <v>何玉冰</v>
      </c>
      <c r="J123" t="str">
        <f>"A公司财务风险管理问题及对策"</f>
        <v>A公司财务风险管理问题及对策</v>
      </c>
      <c r="K123" t="str">
        <f>"财务风险管理方向"</f>
        <v>财务风险管理方向</v>
      </c>
      <c r="L123" t="str">
        <f>"财务风险管理;筹资风险;经营风险"</f>
        <v>财务风险管理;筹资风险;经营风险</v>
      </c>
      <c r="M123" t="str">
        <f t="shared" si="202"/>
        <v>书面答辩</v>
      </c>
      <c r="N123" t="str">
        <f t="shared" si="203"/>
        <v>审核通过</v>
      </c>
      <c r="O123" t="str">
        <f t="shared" si="196"/>
        <v>何玉冰</v>
      </c>
      <c r="P123" t="str">
        <f>"2023-06-29 17:02"</f>
        <v>2023-06-29 17:02</v>
      </c>
      <c r="Q123" t="str">
        <f t="shared" ref="Q123:T123" si="205">"通过"</f>
        <v>通过</v>
      </c>
      <c r="R123" t="str">
        <f t="shared" si="205"/>
        <v>通过</v>
      </c>
      <c r="S123" t="str">
        <f t="shared" si="205"/>
        <v>通过</v>
      </c>
      <c r="T123" t="str">
        <f t="shared" si="205"/>
        <v>通过</v>
      </c>
    </row>
    <row r="124" spans="1:20">
      <c r="A124" t="str">
        <f>"陈培杰"</f>
        <v>陈培杰</v>
      </c>
      <c r="B124" t="str">
        <f>"2117412117007"</f>
        <v>2117412117007</v>
      </c>
      <c r="C124" t="str">
        <f t="shared" ref="C124:C136" si="206">"工管21211"</f>
        <v>工管21211</v>
      </c>
      <c r="D124" t="str">
        <f t="shared" si="177"/>
        <v>2021</v>
      </c>
      <c r="E124" t="str">
        <f t="shared" si="128"/>
        <v>东莞电研院</v>
      </c>
      <c r="F124" t="str">
        <f t="shared" si="129"/>
        <v>专升本</v>
      </c>
      <c r="G124" t="str">
        <f t="shared" ref="G124:G136" si="207">"工商管理"</f>
        <v>工商管理</v>
      </c>
      <c r="H124" t="str">
        <f t="shared" si="194"/>
        <v>函授</v>
      </c>
      <c r="I124" t="str">
        <f>"刘鑫"</f>
        <v>刘鑫</v>
      </c>
      <c r="J124" t="str">
        <f>"论企业的激励机制"</f>
        <v>论企业的激励机制</v>
      </c>
      <c r="K124" t="str">
        <f>"激励"</f>
        <v>激励</v>
      </c>
      <c r="L124" t="str">
        <f>"激励;激励;管理"</f>
        <v>激励;激励;管理</v>
      </c>
      <c r="M124" t="str">
        <f t="shared" si="202"/>
        <v>书面答辩</v>
      </c>
      <c r="N124" t="str">
        <f t="shared" si="203"/>
        <v>审核通过</v>
      </c>
      <c r="O124" t="str">
        <f>"刘鑫"</f>
        <v>刘鑫</v>
      </c>
      <c r="P124" t="str">
        <f>"2023-06-29 17:05"</f>
        <v>2023-06-29 17:05</v>
      </c>
      <c r="Q124" t="str">
        <f t="shared" ref="Q124:T124" si="208">"通过"</f>
        <v>通过</v>
      </c>
      <c r="R124" t="str">
        <f t="shared" si="208"/>
        <v>通过</v>
      </c>
      <c r="S124" t="str">
        <f t="shared" si="208"/>
        <v>通过</v>
      </c>
      <c r="T124" t="str">
        <f t="shared" si="208"/>
        <v>通过</v>
      </c>
    </row>
    <row r="125" spans="1:20">
      <c r="A125" t="str">
        <f>"冯雪影"</f>
        <v>冯雪影</v>
      </c>
      <c r="B125" t="str">
        <f>"2117412117015"</f>
        <v>2117412117015</v>
      </c>
      <c r="C125" t="str">
        <f t="shared" si="206"/>
        <v>工管21211</v>
      </c>
      <c r="D125" t="str">
        <f t="shared" si="177"/>
        <v>2021</v>
      </c>
      <c r="E125" t="str">
        <f t="shared" si="128"/>
        <v>东莞电研院</v>
      </c>
      <c r="F125" t="str">
        <f t="shared" si="129"/>
        <v>专升本</v>
      </c>
      <c r="G125" t="str">
        <f t="shared" si="207"/>
        <v>工商管理</v>
      </c>
      <c r="H125" t="str">
        <f t="shared" si="194"/>
        <v>函授</v>
      </c>
      <c r="I125" t="str">
        <f>"代联"</f>
        <v>代联</v>
      </c>
      <c r="J125" t="str">
        <f>"劳务派遣的优化管理"</f>
        <v>劳务派遣的优化管理</v>
      </c>
      <c r="K125" t="str">
        <f>"劳务输送企业管理;劳务接收企业管理"</f>
        <v>劳务输送企业管理;劳务接收企业管理</v>
      </c>
      <c r="L125" t="str">
        <f>"劳务派遣;人力资源管理;企业奖惩制度"</f>
        <v>劳务派遣;人力资源管理;企业奖惩制度</v>
      </c>
      <c r="M125" t="str">
        <f t="shared" si="202"/>
        <v>书面答辩</v>
      </c>
      <c r="N125" t="str">
        <f t="shared" si="203"/>
        <v>审核通过</v>
      </c>
      <c r="O125" t="str">
        <f>"代联"</f>
        <v>代联</v>
      </c>
      <c r="P125" t="str">
        <f>"2023-06-29 16:54"</f>
        <v>2023-06-29 16:54</v>
      </c>
      <c r="Q125" t="str">
        <f t="shared" ref="Q125:T125" si="209">"通过"</f>
        <v>通过</v>
      </c>
      <c r="R125" t="str">
        <f t="shared" si="209"/>
        <v>通过</v>
      </c>
      <c r="S125" t="str">
        <f t="shared" si="209"/>
        <v>通过</v>
      </c>
      <c r="T125" t="str">
        <f t="shared" si="209"/>
        <v>通过</v>
      </c>
    </row>
    <row r="126" spans="1:20">
      <c r="A126" t="str">
        <f>"梁嘉敏"</f>
        <v>梁嘉敏</v>
      </c>
      <c r="B126" t="str">
        <f>"2117412117031"</f>
        <v>2117412117031</v>
      </c>
      <c r="C126" t="str">
        <f t="shared" si="206"/>
        <v>工管21211</v>
      </c>
      <c r="D126" t="str">
        <f t="shared" si="177"/>
        <v>2021</v>
      </c>
      <c r="E126" t="str">
        <f t="shared" si="128"/>
        <v>东莞电研院</v>
      </c>
      <c r="F126" t="str">
        <f t="shared" si="129"/>
        <v>专升本</v>
      </c>
      <c r="G126" t="str">
        <f t="shared" si="207"/>
        <v>工商管理</v>
      </c>
      <c r="H126" t="str">
        <f t="shared" si="194"/>
        <v>函授</v>
      </c>
      <c r="I126" t="str">
        <f>"刘鑫"</f>
        <v>刘鑫</v>
      </c>
      <c r="J126" t="str">
        <f>"论市场营销的发展方向与趋势"</f>
        <v>论市场营销的发展方向与趋势</v>
      </c>
      <c r="K126" t="str">
        <f>"市场营销"</f>
        <v>市场营销</v>
      </c>
      <c r="L126" t="str">
        <f>"营销;方向;趋势"</f>
        <v>营销;方向;趋势</v>
      </c>
      <c r="M126" t="str">
        <f>"现场答辩"</f>
        <v>现场答辩</v>
      </c>
      <c r="N126" t="str">
        <f t="shared" si="203"/>
        <v>审核通过</v>
      </c>
      <c r="O126" t="str">
        <f>"刘鑫"</f>
        <v>刘鑫</v>
      </c>
      <c r="P126" t="str">
        <f>"2023-06-29 17:05"</f>
        <v>2023-06-29 17:05</v>
      </c>
      <c r="Q126" t="str">
        <f>"通过"</f>
        <v>通过</v>
      </c>
      <c r="R126" t="str">
        <f t="shared" ref="R126:T126" si="210">"未上传"</f>
        <v>未上传</v>
      </c>
      <c r="S126" t="str">
        <f t="shared" si="210"/>
        <v>未上传</v>
      </c>
      <c r="T126" t="str">
        <f t="shared" si="210"/>
        <v>未上传</v>
      </c>
    </row>
    <row r="127" spans="1:20">
      <c r="A127" t="str">
        <f>"林海珊"</f>
        <v>林海珊</v>
      </c>
      <c r="B127" t="str">
        <f>"2117412117037"</f>
        <v>2117412117037</v>
      </c>
      <c r="C127" t="str">
        <f t="shared" si="206"/>
        <v>工管21211</v>
      </c>
      <c r="D127" t="str">
        <f t="shared" si="177"/>
        <v>2021</v>
      </c>
      <c r="E127" t="str">
        <f t="shared" si="128"/>
        <v>东莞电研院</v>
      </c>
      <c r="F127" t="str">
        <f t="shared" si="129"/>
        <v>专升本</v>
      </c>
      <c r="G127" t="str">
        <f t="shared" si="207"/>
        <v>工商管理</v>
      </c>
      <c r="H127" t="str">
        <f t="shared" si="194"/>
        <v>函授</v>
      </c>
      <c r="I127" t="str">
        <f t="shared" ref="I127:I136" si="211">"代联"</f>
        <v>代联</v>
      </c>
      <c r="J127" t="str">
        <f>"B企业物流成本控制存在的问题及对策"</f>
        <v>B企业物流成本控制存在的问题及对策</v>
      </c>
      <c r="K127" t="str">
        <f>"工商管理"</f>
        <v>工商管理</v>
      </c>
      <c r="L127" t="str">
        <f>"物流;物流成本管理;成本控制"</f>
        <v>物流;物流成本管理;成本控制</v>
      </c>
      <c r="M127" t="str">
        <f t="shared" ref="M127:M131" si="212">"书面答辩"</f>
        <v>书面答辩</v>
      </c>
      <c r="N127" t="str">
        <f t="shared" si="203"/>
        <v>审核通过</v>
      </c>
      <c r="O127" t="str">
        <f>"代联"</f>
        <v>代联</v>
      </c>
      <c r="P127" t="str">
        <f>"2023-06-30 22:51"</f>
        <v>2023-06-30 22:51</v>
      </c>
      <c r="Q127" t="str">
        <f t="shared" ref="Q127:T127" si="213">"通过"</f>
        <v>通过</v>
      </c>
      <c r="R127" t="str">
        <f t="shared" si="213"/>
        <v>通过</v>
      </c>
      <c r="S127" t="str">
        <f t="shared" si="213"/>
        <v>通过</v>
      </c>
      <c r="T127" t="str">
        <f t="shared" si="213"/>
        <v>通过</v>
      </c>
    </row>
    <row r="128" spans="1:20">
      <c r="A128" t="str">
        <f>"刘有发"</f>
        <v>刘有发</v>
      </c>
      <c r="B128" t="str">
        <f>"2117412117040"</f>
        <v>2117412117040</v>
      </c>
      <c r="C128" t="str">
        <f t="shared" si="206"/>
        <v>工管21211</v>
      </c>
      <c r="D128" t="str">
        <f t="shared" si="177"/>
        <v>2021</v>
      </c>
      <c r="E128" t="str">
        <f t="shared" si="128"/>
        <v>东莞电研院</v>
      </c>
      <c r="F128" t="str">
        <f t="shared" si="129"/>
        <v>专升本</v>
      </c>
      <c r="G128" t="str">
        <f t="shared" si="207"/>
        <v>工商管理</v>
      </c>
      <c r="H128" t="str">
        <f t="shared" si="194"/>
        <v>函授</v>
      </c>
      <c r="I128" t="str">
        <f t="shared" si="211"/>
        <v>代联</v>
      </c>
      <c r="J128" t="str">
        <f>"工商管理在企业管理中的运用"</f>
        <v>工商管理在企业管理中的运用</v>
      </c>
      <c r="K128" t="str">
        <f>"工商管理的实践;企业管理结合理论"</f>
        <v>工商管理的实践;企业管理结合理论</v>
      </c>
      <c r="L128" t="str">
        <f>"工商管理;企业管理;理论;实践;良性发展"</f>
        <v>工商管理;企业管理;理论;实践;良性发展</v>
      </c>
      <c r="M128" t="str">
        <f t="shared" si="212"/>
        <v>书面答辩</v>
      </c>
      <c r="N128" t="str">
        <f t="shared" si="203"/>
        <v>审核通过</v>
      </c>
      <c r="O128" t="str">
        <f>"代联"</f>
        <v>代联</v>
      </c>
      <c r="P128" t="str">
        <f>"2023-06-29 16:54"</f>
        <v>2023-06-29 16:54</v>
      </c>
      <c r="Q128" t="str">
        <f t="shared" ref="Q128:T128" si="214">"通过"</f>
        <v>通过</v>
      </c>
      <c r="R128" t="str">
        <f t="shared" si="214"/>
        <v>通过</v>
      </c>
      <c r="S128" t="str">
        <f t="shared" si="214"/>
        <v>通过</v>
      </c>
      <c r="T128" t="str">
        <f t="shared" si="214"/>
        <v>通过</v>
      </c>
    </row>
    <row r="129" spans="1:20">
      <c r="A129" t="str">
        <f>"欧泳怡"</f>
        <v>欧泳怡</v>
      </c>
      <c r="B129" t="str">
        <f>"2117412117044"</f>
        <v>2117412117044</v>
      </c>
      <c r="C129" t="str">
        <f t="shared" si="206"/>
        <v>工管21211</v>
      </c>
      <c r="D129" t="str">
        <f t="shared" si="177"/>
        <v>2021</v>
      </c>
      <c r="E129" t="str">
        <f t="shared" si="128"/>
        <v>东莞电研院</v>
      </c>
      <c r="F129" t="str">
        <f t="shared" si="129"/>
        <v>专升本</v>
      </c>
      <c r="G129" t="str">
        <f t="shared" si="207"/>
        <v>工商管理</v>
      </c>
      <c r="H129" t="str">
        <f t="shared" si="194"/>
        <v>函授</v>
      </c>
      <c r="I129" t="str">
        <f t="shared" si="211"/>
        <v>代联</v>
      </c>
      <c r="J129" t="str">
        <f>"论人力资源管理工作的新趋势"</f>
        <v>论人力资源管理工作的新趋势</v>
      </c>
      <c r="K129" t="str">
        <f>"远程工作;灵活工作"</f>
        <v>远程工作;灵活工作</v>
      </c>
      <c r="L129" t="str">
        <f>"人力;趋势;管理"</f>
        <v>人力;趋势;管理</v>
      </c>
      <c r="M129" t="str">
        <f t="shared" si="212"/>
        <v>书面答辩</v>
      </c>
      <c r="N129" t="str">
        <f t="shared" si="203"/>
        <v>审核通过</v>
      </c>
      <c r="O129" t="str">
        <f>"代联"</f>
        <v>代联</v>
      </c>
      <c r="P129" t="str">
        <f>"2023-07-01 18:28"</f>
        <v>2023-07-01 18:28</v>
      </c>
      <c r="Q129" t="str">
        <f t="shared" ref="Q129:T129" si="215">"通过"</f>
        <v>通过</v>
      </c>
      <c r="R129" t="str">
        <f t="shared" si="215"/>
        <v>通过</v>
      </c>
      <c r="S129" t="str">
        <f t="shared" si="215"/>
        <v>通过</v>
      </c>
      <c r="T129" t="str">
        <f t="shared" si="215"/>
        <v>通过</v>
      </c>
    </row>
    <row r="130" spans="1:20">
      <c r="A130" t="str">
        <f>"谭键飞"</f>
        <v>谭键飞</v>
      </c>
      <c r="B130" t="str">
        <f>"2117412117048"</f>
        <v>2117412117048</v>
      </c>
      <c r="C130" t="str">
        <f t="shared" si="206"/>
        <v>工管21211</v>
      </c>
      <c r="D130" t="str">
        <f t="shared" si="177"/>
        <v>2021</v>
      </c>
      <c r="E130" t="str">
        <f t="shared" si="128"/>
        <v>东莞电研院</v>
      </c>
      <c r="F130" t="str">
        <f t="shared" si="129"/>
        <v>专升本</v>
      </c>
      <c r="G130" t="str">
        <f t="shared" si="207"/>
        <v>工商管理</v>
      </c>
      <c r="H130" t="str">
        <f t="shared" si="194"/>
        <v>函授</v>
      </c>
      <c r="I130" t="str">
        <f t="shared" si="211"/>
        <v>代联</v>
      </c>
      <c r="J130" t="str">
        <f>"A公司员工培训问题及改进方案研究"</f>
        <v>A公司员工培训问题及改进方案研究</v>
      </c>
      <c r="K130" t="str">
        <f>"员工培训问题"</f>
        <v>员工培训问题</v>
      </c>
      <c r="L130" t="str">
        <f>"员工培训;互联网;人力资源;培训体系优化"</f>
        <v>员工培训;互联网;人力资源;培训体系优化</v>
      </c>
      <c r="M130" t="str">
        <f t="shared" si="212"/>
        <v>书面答辩</v>
      </c>
      <c r="N130" t="str">
        <f t="shared" si="203"/>
        <v>审核通过</v>
      </c>
      <c r="O130" t="str">
        <f>"代联"</f>
        <v>代联</v>
      </c>
      <c r="P130" t="str">
        <f>"2023-06-29 16:54"</f>
        <v>2023-06-29 16:54</v>
      </c>
      <c r="Q130" t="str">
        <f t="shared" ref="Q130:T130" si="216">"通过"</f>
        <v>通过</v>
      </c>
      <c r="R130" t="str">
        <f t="shared" si="216"/>
        <v>通过</v>
      </c>
      <c r="S130" t="str">
        <f t="shared" si="216"/>
        <v>通过</v>
      </c>
      <c r="T130" t="str">
        <f t="shared" si="216"/>
        <v>通过</v>
      </c>
    </row>
    <row r="131" spans="1:20">
      <c r="A131" t="str">
        <f>"吴楚珠"</f>
        <v>吴楚珠</v>
      </c>
      <c r="B131" t="str">
        <f>"2117412117052"</f>
        <v>2117412117052</v>
      </c>
      <c r="C131" t="str">
        <f t="shared" si="206"/>
        <v>工管21211</v>
      </c>
      <c r="D131" t="str">
        <f t="shared" si="177"/>
        <v>2021</v>
      </c>
      <c r="E131" t="str">
        <f t="shared" si="128"/>
        <v>东莞电研院</v>
      </c>
      <c r="F131" t="str">
        <f t="shared" si="129"/>
        <v>专升本</v>
      </c>
      <c r="G131" t="str">
        <f t="shared" si="207"/>
        <v>工商管理</v>
      </c>
      <c r="H131" t="str">
        <f t="shared" si="194"/>
        <v>函授</v>
      </c>
      <c r="I131" t="str">
        <f t="shared" si="211"/>
        <v>代联</v>
      </c>
      <c r="J131" t="str">
        <f>"A公司跨境电商营销策划优化研究"</f>
        <v>A公司跨境电商营销策划优化研究</v>
      </c>
      <c r="K131" t="str">
        <f>"跨境电商营销"</f>
        <v>跨境电商营销</v>
      </c>
      <c r="L131" t="str">
        <f>"电商;营销;优化研究"</f>
        <v>电商;营销;优化研究</v>
      </c>
      <c r="M131" t="str">
        <f t="shared" si="212"/>
        <v>书面答辩</v>
      </c>
      <c r="N131" t="str">
        <f t="shared" ref="N131:N135" si="217">"审核通过"</f>
        <v>审核通过</v>
      </c>
      <c r="O131" t="str">
        <f>"黄常喜"</f>
        <v>黄常喜</v>
      </c>
      <c r="P131" t="str">
        <f>"2023-06-30 16:51"</f>
        <v>2023-06-30 16:51</v>
      </c>
      <c r="Q131" t="str">
        <f t="shared" ref="Q131:T131" si="218">"通过"</f>
        <v>通过</v>
      </c>
      <c r="R131" t="str">
        <f t="shared" si="218"/>
        <v>通过</v>
      </c>
      <c r="S131" t="str">
        <f t="shared" si="218"/>
        <v>通过</v>
      </c>
      <c r="T131" t="str">
        <f t="shared" si="218"/>
        <v>通过</v>
      </c>
    </row>
    <row r="132" spans="1:20">
      <c r="A132" t="str">
        <f>"吴光羽"</f>
        <v>吴光羽</v>
      </c>
      <c r="B132" t="str">
        <f>"2117412117053"</f>
        <v>2117412117053</v>
      </c>
      <c r="C132" t="str">
        <f t="shared" si="206"/>
        <v>工管21211</v>
      </c>
      <c r="D132" t="str">
        <f t="shared" si="177"/>
        <v>2021</v>
      </c>
      <c r="E132" t="str">
        <f t="shared" si="128"/>
        <v>东莞电研院</v>
      </c>
      <c r="F132" t="str">
        <f t="shared" si="129"/>
        <v>专升本</v>
      </c>
      <c r="G132" t="str">
        <f t="shared" si="207"/>
        <v>工商管理</v>
      </c>
      <c r="H132" t="str">
        <f t="shared" si="194"/>
        <v>函授</v>
      </c>
      <c r="I132" t="str">
        <f t="shared" si="211"/>
        <v>代联</v>
      </c>
      <c r="J132" t="str">
        <f>"电子商务对国际贸易的影响及对策研究"</f>
        <v>电子商务对国际贸易的影响及对策研究</v>
      </c>
      <c r="K132" t="str">
        <f>"电子商务"</f>
        <v>电子商务</v>
      </c>
      <c r="L132" t="str">
        <f>"电子商务;国际贸易;影响与对策"</f>
        <v>电子商务;国际贸易;影响与对策</v>
      </c>
      <c r="M132" t="str">
        <f>"现场答辩"</f>
        <v>现场答辩</v>
      </c>
      <c r="N132" t="str">
        <f t="shared" si="217"/>
        <v>审核通过</v>
      </c>
      <c r="O132" t="str">
        <f>"代联"</f>
        <v>代联</v>
      </c>
      <c r="P132" t="str">
        <f>"2023-06-29 16:55"</f>
        <v>2023-06-29 16:55</v>
      </c>
      <c r="Q132" t="str">
        <f t="shared" ref="Q132:T132" si="219">"通过"</f>
        <v>通过</v>
      </c>
      <c r="R132" t="str">
        <f t="shared" si="219"/>
        <v>通过</v>
      </c>
      <c r="S132" t="str">
        <f t="shared" si="219"/>
        <v>通过</v>
      </c>
      <c r="T132" t="str">
        <f t="shared" si="219"/>
        <v>通过</v>
      </c>
    </row>
    <row r="133" spans="1:20">
      <c r="A133" t="str">
        <f>"谢丽萍"</f>
        <v>谢丽萍</v>
      </c>
      <c r="B133" t="str">
        <f>"2117412117060"</f>
        <v>2117412117060</v>
      </c>
      <c r="C133" t="str">
        <f t="shared" si="206"/>
        <v>工管21211</v>
      </c>
      <c r="D133" t="str">
        <f t="shared" si="177"/>
        <v>2021</v>
      </c>
      <c r="E133" t="str">
        <f t="shared" si="128"/>
        <v>东莞电研院</v>
      </c>
      <c r="F133" t="str">
        <f t="shared" si="129"/>
        <v>专升本</v>
      </c>
      <c r="G133" t="str">
        <f t="shared" si="207"/>
        <v>工商管理</v>
      </c>
      <c r="H133" t="str">
        <f t="shared" si="194"/>
        <v>函授</v>
      </c>
      <c r="I133" t="str">
        <f t="shared" si="211"/>
        <v>代联</v>
      </c>
      <c r="J133" t="str">
        <f>"功能性饮料企业营销现状及策略分析——以中国红牛为例"</f>
        <v>功能性饮料企业营销现状及策略分析——以中国红牛为例</v>
      </c>
      <c r="K133" t="str">
        <f>"营销"</f>
        <v>营销</v>
      </c>
      <c r="L133" t="str">
        <f>"功能性饮料;营销环境;营销分析"</f>
        <v>功能性饮料;营销环境;营销分析</v>
      </c>
      <c r="M133" t="str">
        <f>"现场答辩"</f>
        <v>现场答辩</v>
      </c>
      <c r="N133" t="str">
        <f t="shared" si="217"/>
        <v>审核通过</v>
      </c>
      <c r="O133" t="str">
        <f>"代联"</f>
        <v>代联</v>
      </c>
      <c r="P133" t="str">
        <f>"2023-06-29 16:54"</f>
        <v>2023-06-29 16:54</v>
      </c>
      <c r="Q133" t="str">
        <f t="shared" ref="Q133:T133" si="220">"通过"</f>
        <v>通过</v>
      </c>
      <c r="R133" t="str">
        <f t="shared" si="220"/>
        <v>通过</v>
      </c>
      <c r="S133" t="str">
        <f t="shared" si="220"/>
        <v>通过</v>
      </c>
      <c r="T133" t="str">
        <f t="shared" si="220"/>
        <v>通过</v>
      </c>
    </row>
    <row r="134" spans="1:20">
      <c r="A134" t="str">
        <f>"袁庆忠"</f>
        <v>袁庆忠</v>
      </c>
      <c r="B134" t="str">
        <f>"2117412117066"</f>
        <v>2117412117066</v>
      </c>
      <c r="C134" t="str">
        <f t="shared" si="206"/>
        <v>工管21211</v>
      </c>
      <c r="D134" t="str">
        <f t="shared" si="177"/>
        <v>2021</v>
      </c>
      <c r="E134" t="str">
        <f t="shared" si="128"/>
        <v>东莞电研院</v>
      </c>
      <c r="F134" t="str">
        <f t="shared" si="129"/>
        <v>专升本</v>
      </c>
      <c r="G134" t="str">
        <f t="shared" si="207"/>
        <v>工商管理</v>
      </c>
      <c r="H134" t="str">
        <f t="shared" si="194"/>
        <v>函授</v>
      </c>
      <c r="I134" t="str">
        <f t="shared" si="211"/>
        <v>代联</v>
      </c>
      <c r="J134" t="str">
        <f>"论酒店企业管理人员应具备的能力"</f>
        <v>论酒店企业管理人员应具备的能力</v>
      </c>
      <c r="K134" t="str">
        <f>"工商管理"</f>
        <v>工商管理</v>
      </c>
      <c r="L134" t="str">
        <f>"酒店;经营管理;发展前景;企业;人才"</f>
        <v>酒店;经营管理;发展前景;企业;人才</v>
      </c>
      <c r="M134" t="str">
        <f>"书面答辩"</f>
        <v>书面答辩</v>
      </c>
      <c r="N134" t="str">
        <f t="shared" si="217"/>
        <v>审核通过</v>
      </c>
      <c r="O134" t="str">
        <f>"代联"</f>
        <v>代联</v>
      </c>
      <c r="P134" t="str">
        <f>"2023-07-01 18:32"</f>
        <v>2023-07-01 18:32</v>
      </c>
      <c r="Q134" t="str">
        <f t="shared" ref="Q134:T134" si="221">"通过"</f>
        <v>通过</v>
      </c>
      <c r="R134" t="str">
        <f t="shared" si="221"/>
        <v>通过</v>
      </c>
      <c r="S134" t="str">
        <f t="shared" si="221"/>
        <v>通过</v>
      </c>
      <c r="T134" t="str">
        <f t="shared" si="221"/>
        <v>通过</v>
      </c>
    </row>
    <row r="135" spans="1:20">
      <c r="A135" t="str">
        <f>"張娜娜"</f>
        <v>張娜娜</v>
      </c>
      <c r="B135" t="str">
        <f>"2117412117069"</f>
        <v>2117412117069</v>
      </c>
      <c r="C135" t="str">
        <f t="shared" si="206"/>
        <v>工管21211</v>
      </c>
      <c r="D135" t="str">
        <f t="shared" si="177"/>
        <v>2021</v>
      </c>
      <c r="E135" t="str">
        <f t="shared" si="128"/>
        <v>东莞电研院</v>
      </c>
      <c r="F135" t="str">
        <f t="shared" si="129"/>
        <v>专升本</v>
      </c>
      <c r="G135" t="str">
        <f t="shared" si="207"/>
        <v>工商管理</v>
      </c>
      <c r="H135" t="str">
        <f t="shared" si="194"/>
        <v>函授</v>
      </c>
      <c r="I135" t="str">
        <f t="shared" si="211"/>
        <v>代联</v>
      </c>
      <c r="J135" t="str">
        <f>"网络营销盈利模式的探讨"</f>
        <v>网络营销盈利模式的探讨</v>
      </c>
      <c r="K135" t="str">
        <f>"网络营销盈利模式"</f>
        <v>网络营销盈利模式</v>
      </c>
      <c r="L135" t="str">
        <f>"营业;细分;专业"</f>
        <v>营业;细分;专业</v>
      </c>
      <c r="M135" t="str">
        <f>"书面答辩"</f>
        <v>书面答辩</v>
      </c>
      <c r="N135" t="str">
        <f t="shared" si="217"/>
        <v>审核通过</v>
      </c>
      <c r="O135" t="str">
        <f>"代联"</f>
        <v>代联</v>
      </c>
      <c r="P135" t="str">
        <f>"2023-06-29 16:55"</f>
        <v>2023-06-29 16:55</v>
      </c>
      <c r="Q135" t="str">
        <f>"未填写"</f>
        <v>未填写</v>
      </c>
      <c r="R135" t="str">
        <f t="shared" ref="R135:T135" si="222">"未上传"</f>
        <v>未上传</v>
      </c>
      <c r="S135" t="str">
        <f t="shared" si="222"/>
        <v>未上传</v>
      </c>
      <c r="T135" t="str">
        <f t="shared" si="222"/>
        <v>未上传</v>
      </c>
    </row>
    <row r="136" spans="1:20">
      <c r="A136" t="str">
        <f>"钟丽冰"</f>
        <v>钟丽冰</v>
      </c>
      <c r="B136" t="str">
        <f>"2117412117076"</f>
        <v>2117412117076</v>
      </c>
      <c r="C136" t="str">
        <f t="shared" si="206"/>
        <v>工管21211</v>
      </c>
      <c r="D136" t="str">
        <f t="shared" si="177"/>
        <v>2021</v>
      </c>
      <c r="E136" t="str">
        <f t="shared" si="128"/>
        <v>东莞电研院</v>
      </c>
      <c r="F136" t="str">
        <f t="shared" si="129"/>
        <v>专升本</v>
      </c>
      <c r="G136" t="str">
        <f t="shared" si="207"/>
        <v>工商管理</v>
      </c>
      <c r="H136" t="str">
        <f t="shared" si="194"/>
        <v>函授</v>
      </c>
      <c r="I136" t="str">
        <f t="shared" si="211"/>
        <v>代联</v>
      </c>
      <c r="J136" t="str">
        <f>"浅谈中小型企业的财务管理与会计电算化"</f>
        <v>浅谈中小型企业的财务管理与会计电算化</v>
      </c>
      <c r="K136" t="str">
        <f>"企业财务管理"</f>
        <v>企业财务管理</v>
      </c>
      <c r="L136" t="str">
        <f>"中小企业;财务管理;会计电算化"</f>
        <v>中小企业;财务管理;会计电算化</v>
      </c>
      <c r="M136" t="str">
        <f t="shared" ref="M136:M141" si="223">"书面答辩"</f>
        <v>书面答辩</v>
      </c>
      <c r="N136" t="str">
        <f t="shared" ref="N136:N141" si="224">"审核通过"</f>
        <v>审核通过</v>
      </c>
      <c r="O136" t="str">
        <f>"代联"</f>
        <v>代联</v>
      </c>
      <c r="P136" t="str">
        <f>"2023-06-30 22:54"</f>
        <v>2023-06-30 22:54</v>
      </c>
      <c r="Q136" t="str">
        <f>"通过"</f>
        <v>通过</v>
      </c>
      <c r="R136" t="str">
        <f t="shared" ref="R136:T136" si="225">"未上传"</f>
        <v>未上传</v>
      </c>
      <c r="S136" t="str">
        <f t="shared" si="225"/>
        <v>未上传</v>
      </c>
      <c r="T136" t="str">
        <f t="shared" si="225"/>
        <v>未上传</v>
      </c>
    </row>
    <row r="137" spans="1:20">
      <c r="A137" t="str">
        <f>"梁海平"</f>
        <v>梁海平</v>
      </c>
      <c r="B137" t="str">
        <f>"2117412118016"</f>
        <v>2117412118016</v>
      </c>
      <c r="C137" t="str">
        <f>"行管21224"</f>
        <v>行管21224</v>
      </c>
      <c r="D137" t="str">
        <f t="shared" si="177"/>
        <v>2021</v>
      </c>
      <c r="E137" t="str">
        <f t="shared" si="128"/>
        <v>东莞电研院</v>
      </c>
      <c r="F137" t="str">
        <f t="shared" si="129"/>
        <v>专升本</v>
      </c>
      <c r="G137" t="str">
        <f>"行政管理"</f>
        <v>行政管理</v>
      </c>
      <c r="H137" t="str">
        <f t="shared" si="194"/>
        <v>函授</v>
      </c>
      <c r="I137" t="str">
        <f>"陈红"</f>
        <v>陈红</v>
      </c>
      <c r="J137" t="str">
        <f>"研究宠物行业发展趋势与技术"</f>
        <v>研究宠物行业发展趋势与技术</v>
      </c>
      <c r="K137" t="str">
        <f>"宠物行业发展"</f>
        <v>宠物行业发展</v>
      </c>
      <c r="L137" t="str">
        <f>"宠物行业趋势;技术;线上线下"</f>
        <v>宠物行业趋势;技术;线上线下</v>
      </c>
      <c r="M137" t="str">
        <f t="shared" si="223"/>
        <v>书面答辩</v>
      </c>
      <c r="N137" t="str">
        <f t="shared" si="224"/>
        <v>审核通过</v>
      </c>
      <c r="O137" t="str">
        <f t="shared" ref="O137:O141" si="226">"陈红"</f>
        <v>陈红</v>
      </c>
      <c r="P137" t="str">
        <f>"2023-07-01 18:14"</f>
        <v>2023-07-01 18:14</v>
      </c>
      <c r="Q137" t="str">
        <f t="shared" ref="Q137:T137" si="227">"通过"</f>
        <v>通过</v>
      </c>
      <c r="R137" t="str">
        <f t="shared" si="227"/>
        <v>通过</v>
      </c>
      <c r="S137" t="str">
        <f t="shared" si="227"/>
        <v>通过</v>
      </c>
      <c r="T137" t="str">
        <f t="shared" si="227"/>
        <v>通过</v>
      </c>
    </row>
    <row r="138" spans="1:20">
      <c r="A138" t="str">
        <f>"梁祖贤"</f>
        <v>梁祖贤</v>
      </c>
      <c r="B138" t="str">
        <f>"2117412118018"</f>
        <v>2117412118018</v>
      </c>
      <c r="C138" t="str">
        <f>"行管21224"</f>
        <v>行管21224</v>
      </c>
      <c r="D138" t="str">
        <f t="shared" si="177"/>
        <v>2021</v>
      </c>
      <c r="E138" t="str">
        <f t="shared" si="128"/>
        <v>东莞电研院</v>
      </c>
      <c r="F138" t="str">
        <f t="shared" si="129"/>
        <v>专升本</v>
      </c>
      <c r="G138" t="str">
        <f>"行政管理"</f>
        <v>行政管理</v>
      </c>
      <c r="H138" t="str">
        <f t="shared" si="194"/>
        <v>函授</v>
      </c>
      <c r="I138" t="str">
        <f>"陈红"</f>
        <v>陈红</v>
      </c>
      <c r="J138" t="str">
        <f>"论行政管理工作对于企业的重要性分析"</f>
        <v>论行政管理工作对于企业的重要性分析</v>
      </c>
      <c r="K138" t="str">
        <f>"经营理念;经营理念的体现"</f>
        <v>经营理念;经营理念的体现</v>
      </c>
      <c r="L138" t="str">
        <f>"企业;行政管理管理;问题;对策;探讨"</f>
        <v>企业;行政管理管理;问题;对策;探讨</v>
      </c>
      <c r="M138" t="str">
        <f t="shared" si="223"/>
        <v>书面答辩</v>
      </c>
      <c r="N138" t="str">
        <f t="shared" si="224"/>
        <v>审核通过</v>
      </c>
      <c r="O138" t="str">
        <f t="shared" si="226"/>
        <v>陈红</v>
      </c>
      <c r="P138" t="str">
        <f>"2023-06-30 22:36"</f>
        <v>2023-06-30 22:36</v>
      </c>
      <c r="Q138" t="str">
        <f t="shared" ref="Q138:T138" si="228">"通过"</f>
        <v>通过</v>
      </c>
      <c r="R138" t="str">
        <f t="shared" si="228"/>
        <v>通过</v>
      </c>
      <c r="S138" t="str">
        <f t="shared" si="228"/>
        <v>通过</v>
      </c>
      <c r="T138" t="str">
        <f t="shared" si="228"/>
        <v>通过</v>
      </c>
    </row>
    <row r="139" spans="1:20">
      <c r="A139" t="str">
        <f>"刘海峰"</f>
        <v>刘海峰</v>
      </c>
      <c r="B139" t="str">
        <f>"2117412118020"</f>
        <v>2117412118020</v>
      </c>
      <c r="C139" t="str">
        <f>"行管21224"</f>
        <v>行管21224</v>
      </c>
      <c r="D139" t="str">
        <f t="shared" si="177"/>
        <v>2021</v>
      </c>
      <c r="E139" t="str">
        <f t="shared" si="128"/>
        <v>东莞电研院</v>
      </c>
      <c r="F139" t="str">
        <f t="shared" si="129"/>
        <v>专升本</v>
      </c>
      <c r="G139" t="str">
        <f>"行政管理"</f>
        <v>行政管理</v>
      </c>
      <c r="H139" t="str">
        <f t="shared" si="194"/>
        <v>函授</v>
      </c>
      <c r="I139" t="str">
        <f>"陈红"</f>
        <v>陈红</v>
      </c>
      <c r="J139" t="str">
        <f>"我国公务员制度存在的问题及对策"</f>
        <v>我国公务员制度存在的问题及对策</v>
      </c>
      <c r="K139" t="str">
        <f>"公务员制度"</f>
        <v>公务员制度</v>
      </c>
      <c r="L139" t="str">
        <f>"公务员;制度建设;问题;对策"</f>
        <v>公务员;制度建设;问题;对策</v>
      </c>
      <c r="M139" t="str">
        <f t="shared" si="223"/>
        <v>书面答辩</v>
      </c>
      <c r="N139" t="str">
        <f t="shared" si="224"/>
        <v>审核通过</v>
      </c>
      <c r="O139" t="str">
        <f t="shared" si="226"/>
        <v>陈红</v>
      </c>
      <c r="P139" t="str">
        <f>"2023-06-30 22:39"</f>
        <v>2023-06-30 22:39</v>
      </c>
      <c r="Q139" t="str">
        <f t="shared" ref="Q139:T139" si="229">"通过"</f>
        <v>通过</v>
      </c>
      <c r="R139" t="str">
        <f t="shared" si="229"/>
        <v>通过</v>
      </c>
      <c r="S139" t="str">
        <f t="shared" si="229"/>
        <v>通过</v>
      </c>
      <c r="T139" t="str">
        <f t="shared" si="229"/>
        <v>通过</v>
      </c>
    </row>
    <row r="140" spans="1:20">
      <c r="A140" t="str">
        <f>"罗杰华"</f>
        <v>罗杰华</v>
      </c>
      <c r="B140" t="str">
        <f>"2117412118026"</f>
        <v>2117412118026</v>
      </c>
      <c r="C140" t="str">
        <f>"行管21224"</f>
        <v>行管21224</v>
      </c>
      <c r="D140" t="str">
        <f t="shared" si="177"/>
        <v>2021</v>
      </c>
      <c r="E140" t="str">
        <f t="shared" si="128"/>
        <v>东莞电研院</v>
      </c>
      <c r="F140" t="str">
        <f t="shared" si="129"/>
        <v>专升本</v>
      </c>
      <c r="G140" t="str">
        <f>"行政管理"</f>
        <v>行政管理</v>
      </c>
      <c r="H140" t="str">
        <f t="shared" si="194"/>
        <v>函授</v>
      </c>
      <c r="I140" t="str">
        <f>"陈红"</f>
        <v>陈红</v>
      </c>
      <c r="J140" t="str">
        <f>"论行政权力滥用的监督制约"</f>
        <v>论行政权力滥用的监督制约</v>
      </c>
      <c r="K140" t="str">
        <f>"行政监督"</f>
        <v>行政监督</v>
      </c>
      <c r="L140" t="str">
        <f>"行政;滥用;监督;制约"</f>
        <v>行政;滥用;监督;制约</v>
      </c>
      <c r="M140" t="str">
        <f t="shared" si="223"/>
        <v>书面答辩</v>
      </c>
      <c r="N140" t="str">
        <f t="shared" si="224"/>
        <v>审核通过</v>
      </c>
      <c r="O140" t="str">
        <f t="shared" si="226"/>
        <v>陈红</v>
      </c>
      <c r="P140" t="str">
        <f>"2023-07-01 18:17"</f>
        <v>2023-07-01 18:17</v>
      </c>
      <c r="Q140" t="str">
        <f t="shared" ref="Q140:T140" si="230">"通过"</f>
        <v>通过</v>
      </c>
      <c r="R140" t="str">
        <f t="shared" si="230"/>
        <v>通过</v>
      </c>
      <c r="S140" t="str">
        <f t="shared" si="230"/>
        <v>通过</v>
      </c>
      <c r="T140" t="str">
        <f t="shared" si="230"/>
        <v>通过</v>
      </c>
    </row>
    <row r="141" spans="1:20">
      <c r="A141" t="str">
        <f>"谢海然"</f>
        <v>谢海然</v>
      </c>
      <c r="B141" t="str">
        <f>"2117412118033"</f>
        <v>2117412118033</v>
      </c>
      <c r="C141" t="str">
        <f>"行管21224"</f>
        <v>行管21224</v>
      </c>
      <c r="D141" t="str">
        <f t="shared" si="177"/>
        <v>2021</v>
      </c>
      <c r="E141" t="str">
        <f t="shared" si="128"/>
        <v>东莞电研院</v>
      </c>
      <c r="F141" t="str">
        <f t="shared" si="129"/>
        <v>专升本</v>
      </c>
      <c r="G141" t="str">
        <f>"行政管理"</f>
        <v>行政管理</v>
      </c>
      <c r="H141" t="str">
        <f t="shared" si="194"/>
        <v>函授</v>
      </c>
      <c r="I141" t="str">
        <f>"陈红"</f>
        <v>陈红</v>
      </c>
      <c r="J141" t="str">
        <f>"企业行政管理的制度和决策研究"</f>
        <v>企业行政管理的制度和决策研究</v>
      </c>
      <c r="K141" t="str">
        <f>"行政管理的制度;行政管理的决策"</f>
        <v>行政管理的制度;行政管理的决策</v>
      </c>
      <c r="L141" t="str">
        <f>"企业;行政管理;制度"</f>
        <v>企业;行政管理;制度</v>
      </c>
      <c r="M141" t="str">
        <f t="shared" si="223"/>
        <v>书面答辩</v>
      </c>
      <c r="N141" t="str">
        <f t="shared" si="224"/>
        <v>审核通过</v>
      </c>
      <c r="O141" t="str">
        <f t="shared" si="226"/>
        <v>陈红</v>
      </c>
      <c r="P141" t="str">
        <f>"2023-06-28 11:04"</f>
        <v>2023-06-28 11:04</v>
      </c>
      <c r="Q141" t="str">
        <f t="shared" ref="Q141:T141" si="231">"通过"</f>
        <v>通过</v>
      </c>
      <c r="R141" t="str">
        <f t="shared" si="231"/>
        <v>通过</v>
      </c>
      <c r="S141" t="str">
        <f t="shared" si="231"/>
        <v>通过</v>
      </c>
      <c r="T141" t="str">
        <f t="shared" si="231"/>
        <v>通过</v>
      </c>
    </row>
    <row r="142" spans="1:20">
      <c r="A142" t="str">
        <f>"程锦雄"</f>
        <v>程锦雄</v>
      </c>
      <c r="B142" t="str">
        <f>"2117412119003"</f>
        <v>2117412119003</v>
      </c>
      <c r="C142" t="str">
        <f t="shared" ref="C142:C152" si="232">"计机科技21242"</f>
        <v>计机科技21242</v>
      </c>
      <c r="D142" t="str">
        <f t="shared" si="177"/>
        <v>2021</v>
      </c>
      <c r="E142" t="str">
        <f t="shared" si="128"/>
        <v>东莞电研院</v>
      </c>
      <c r="F142" t="str">
        <f t="shared" si="129"/>
        <v>专升本</v>
      </c>
      <c r="G142" t="str">
        <f t="shared" ref="G142:G152" si="233">"计算机科学与技术"</f>
        <v>计算机科学与技术</v>
      </c>
      <c r="H142" t="str">
        <f t="shared" si="194"/>
        <v>函授</v>
      </c>
      <c r="I142" t="str">
        <f t="shared" ref="I142:I147" si="234">"罗静"</f>
        <v>罗静</v>
      </c>
      <c r="J142" t="str">
        <f>"酒店管理系统的设计与实现"</f>
        <v>酒店管理系统的设计与实现</v>
      </c>
      <c r="K142" t="str">
        <f>"酒店管理"</f>
        <v>酒店管理</v>
      </c>
      <c r="L142" t="str">
        <f>"ASP.NET技术;酒店的管理;WebForm"</f>
        <v>ASP.NET技术;酒店的管理;WebForm</v>
      </c>
      <c r="M142" t="str">
        <f t="shared" ref="M142:M144" si="235">"书面答辩"</f>
        <v>书面答辩</v>
      </c>
      <c r="N142" t="str">
        <f t="shared" ref="N142:N144" si="236">"审核通过"</f>
        <v>审核通过</v>
      </c>
      <c r="O142" t="str">
        <f t="shared" ref="O142:O145" si="237">"罗静"</f>
        <v>罗静</v>
      </c>
      <c r="P142" t="str">
        <f>"2023-06-29 17:07"</f>
        <v>2023-06-29 17:07</v>
      </c>
      <c r="Q142" t="str">
        <f t="shared" ref="Q142:T142" si="238">"通过"</f>
        <v>通过</v>
      </c>
      <c r="R142" t="str">
        <f t="shared" si="238"/>
        <v>通过</v>
      </c>
      <c r="S142" t="str">
        <f t="shared" si="238"/>
        <v>通过</v>
      </c>
      <c r="T142" t="str">
        <f t="shared" si="238"/>
        <v>通过</v>
      </c>
    </row>
    <row r="143" spans="1:20">
      <c r="A143" t="str">
        <f>"郭华锋"</f>
        <v>郭华锋</v>
      </c>
      <c r="B143" t="str">
        <f>"2117412119004"</f>
        <v>2117412119004</v>
      </c>
      <c r="C143" t="str">
        <f t="shared" si="232"/>
        <v>计机科技21242</v>
      </c>
      <c r="D143" t="str">
        <f t="shared" si="177"/>
        <v>2021</v>
      </c>
      <c r="E143" t="str">
        <f t="shared" si="128"/>
        <v>东莞电研院</v>
      </c>
      <c r="F143" t="str">
        <f t="shared" si="129"/>
        <v>专升本</v>
      </c>
      <c r="G143" t="str">
        <f t="shared" si="233"/>
        <v>计算机科学与技术</v>
      </c>
      <c r="H143" t="str">
        <f t="shared" si="194"/>
        <v>函授</v>
      </c>
      <c r="I143" t="str">
        <f t="shared" si="234"/>
        <v>罗静</v>
      </c>
      <c r="J143" t="str">
        <f>"健身房会员管理系统的设计与实现"</f>
        <v>健身房会员管理系统的设计与实现</v>
      </c>
      <c r="K143" t="str">
        <f>"系统软件设计"</f>
        <v>系统软件设计</v>
      </c>
      <c r="L143" t="str">
        <f>"健身房管理系统;MySQL数据库;JSP;SSH"</f>
        <v>健身房管理系统;MySQL数据库;JSP;SSH</v>
      </c>
      <c r="M143" t="str">
        <f t="shared" si="235"/>
        <v>书面答辩</v>
      </c>
      <c r="N143" t="str">
        <f t="shared" si="236"/>
        <v>审核通过</v>
      </c>
      <c r="O143" t="str">
        <f t="shared" si="237"/>
        <v>罗静</v>
      </c>
      <c r="P143" t="str">
        <f>"2023-06-30 22:58"</f>
        <v>2023-06-30 22:58</v>
      </c>
      <c r="Q143" t="str">
        <f t="shared" ref="Q143:T143" si="239">"通过"</f>
        <v>通过</v>
      </c>
      <c r="R143" t="str">
        <f t="shared" si="239"/>
        <v>通过</v>
      </c>
      <c r="S143" t="str">
        <f t="shared" si="239"/>
        <v>通过</v>
      </c>
      <c r="T143" t="str">
        <f t="shared" si="239"/>
        <v>通过</v>
      </c>
    </row>
    <row r="144" spans="1:20">
      <c r="A144" t="str">
        <f>"郭志锋"</f>
        <v>郭志锋</v>
      </c>
      <c r="B144" t="str">
        <f>"2117412119005"</f>
        <v>2117412119005</v>
      </c>
      <c r="C144" t="str">
        <f t="shared" si="232"/>
        <v>计机科技21242</v>
      </c>
      <c r="D144" t="str">
        <f t="shared" si="177"/>
        <v>2021</v>
      </c>
      <c r="E144" t="str">
        <f t="shared" ref="E144:E152" si="240">"东莞电研院"</f>
        <v>东莞电研院</v>
      </c>
      <c r="F144" t="str">
        <f t="shared" ref="F144:F152" si="241">"专升本"</f>
        <v>专升本</v>
      </c>
      <c r="G144" t="str">
        <f t="shared" si="233"/>
        <v>计算机科学与技术</v>
      </c>
      <c r="H144" t="str">
        <f t="shared" si="194"/>
        <v>函授</v>
      </c>
      <c r="I144" t="str">
        <f t="shared" si="234"/>
        <v>罗静</v>
      </c>
      <c r="J144" t="str">
        <f>"计算机科学与技术专业实践教学研究"</f>
        <v>计算机科学与技术专业实践教学研究</v>
      </c>
      <c r="K144" t="str">
        <f>"实践教学研究"</f>
        <v>实践教学研究</v>
      </c>
      <c r="L144" t="str">
        <f>"实践;教学;研究"</f>
        <v>实践;教学;研究</v>
      </c>
      <c r="M144" t="str">
        <f t="shared" si="235"/>
        <v>书面答辩</v>
      </c>
      <c r="N144" t="str">
        <f t="shared" si="236"/>
        <v>审核通过</v>
      </c>
      <c r="O144" t="str">
        <f t="shared" si="237"/>
        <v>罗静</v>
      </c>
      <c r="P144" t="str">
        <f>"2023-06-30 14:37"</f>
        <v>2023-06-30 14:37</v>
      </c>
      <c r="Q144" t="str">
        <f t="shared" ref="Q144:T144" si="242">"通过"</f>
        <v>通过</v>
      </c>
      <c r="R144" t="str">
        <f t="shared" si="242"/>
        <v>通过</v>
      </c>
      <c r="S144" t="str">
        <f t="shared" si="242"/>
        <v>通过</v>
      </c>
      <c r="T144" t="str">
        <f t="shared" si="242"/>
        <v>通过</v>
      </c>
    </row>
    <row r="145" spans="1:20">
      <c r="A145" t="str">
        <f>"黄庆忠"</f>
        <v>黄庆忠</v>
      </c>
      <c r="B145" t="str">
        <f>"2117412119008"</f>
        <v>2117412119008</v>
      </c>
      <c r="C145" t="str">
        <f t="shared" si="232"/>
        <v>计机科技21242</v>
      </c>
      <c r="D145" t="str">
        <f t="shared" si="177"/>
        <v>2021</v>
      </c>
      <c r="E145" t="str">
        <f t="shared" si="240"/>
        <v>东莞电研院</v>
      </c>
      <c r="F145" t="str">
        <f t="shared" si="241"/>
        <v>专升本</v>
      </c>
      <c r="G145" t="str">
        <f t="shared" si="233"/>
        <v>计算机科学与技术</v>
      </c>
      <c r="H145" t="str">
        <f t="shared" si="194"/>
        <v>函授</v>
      </c>
      <c r="I145" t="str">
        <f t="shared" si="234"/>
        <v>罗静</v>
      </c>
      <c r="J145" t="str">
        <f>"基于java聊天系统的设计与实现"</f>
        <v>基于java聊天系统的设计与实现</v>
      </c>
      <c r="K145" t="str">
        <f>"java聊天系统"</f>
        <v>java聊天系统</v>
      </c>
      <c r="L145" t="str">
        <f>"系统;设计;实现"</f>
        <v>系统;设计;实现</v>
      </c>
      <c r="M145" t="str">
        <f t="shared" ref="M145:M149" si="243">"现场答辩"</f>
        <v>现场答辩</v>
      </c>
      <c r="N145" t="str">
        <f t="shared" ref="N145:N149" si="244">"审核通过"</f>
        <v>审核通过</v>
      </c>
      <c r="O145" t="str">
        <f t="shared" si="237"/>
        <v>罗静</v>
      </c>
      <c r="P145" t="str">
        <f>"2023-06-30 14:38"</f>
        <v>2023-06-30 14:38</v>
      </c>
      <c r="Q145" t="str">
        <f t="shared" ref="Q145:T145" si="245">"通过"</f>
        <v>通过</v>
      </c>
      <c r="R145" t="str">
        <f t="shared" si="245"/>
        <v>通过</v>
      </c>
      <c r="S145" t="str">
        <f t="shared" si="245"/>
        <v>通过</v>
      </c>
      <c r="T145" t="str">
        <f t="shared" si="245"/>
        <v>通过</v>
      </c>
    </row>
    <row r="146" spans="1:20">
      <c r="A146" t="str">
        <f>"黄尚贤"</f>
        <v>黄尚贤</v>
      </c>
      <c r="B146" t="str">
        <f>"2117412119009"</f>
        <v>2117412119009</v>
      </c>
      <c r="C146" t="str">
        <f t="shared" si="232"/>
        <v>计机科技21242</v>
      </c>
      <c r="D146" t="str">
        <f t="shared" si="177"/>
        <v>2021</v>
      </c>
      <c r="E146" t="str">
        <f t="shared" si="240"/>
        <v>东莞电研院</v>
      </c>
      <c r="F146" t="str">
        <f t="shared" si="241"/>
        <v>专升本</v>
      </c>
      <c r="G146" t="str">
        <f t="shared" si="233"/>
        <v>计算机科学与技术</v>
      </c>
      <c r="H146" t="str">
        <f t="shared" si="194"/>
        <v>函授</v>
      </c>
      <c r="I146" t="str">
        <f t="shared" si="234"/>
        <v>罗静</v>
      </c>
      <c r="J146" t="str">
        <f>"基于SSM购物商城管理系统设计与实现"</f>
        <v>基于SSM购物商城管理系统设计与实现</v>
      </c>
      <c r="K146" t="str">
        <f>"系统开发设计"</f>
        <v>系统开发设计</v>
      </c>
      <c r="L146" t="str">
        <f>"网上购物商城;管理平台;信息化"</f>
        <v>网上购物商城;管理平台;信息化</v>
      </c>
      <c r="M146" t="str">
        <f>"书面答辩"</f>
        <v>书面答辩</v>
      </c>
      <c r="N146" t="str">
        <f t="shared" si="244"/>
        <v>审核通过</v>
      </c>
      <c r="O146" t="str">
        <f>"黄常喜"</f>
        <v>黄常喜</v>
      </c>
      <c r="P146" t="str">
        <f>"2023-06-30 16:24"</f>
        <v>2023-06-30 16:24</v>
      </c>
      <c r="Q146" t="str">
        <f t="shared" ref="Q146:T146" si="246">"通过"</f>
        <v>通过</v>
      </c>
      <c r="R146" t="str">
        <f t="shared" si="246"/>
        <v>通过</v>
      </c>
      <c r="S146" t="str">
        <f t="shared" si="246"/>
        <v>通过</v>
      </c>
      <c r="T146" t="str">
        <f t="shared" si="246"/>
        <v>通过</v>
      </c>
    </row>
    <row r="147" spans="1:20">
      <c r="A147" t="str">
        <f>"李有乐"</f>
        <v>李有乐</v>
      </c>
      <c r="B147" t="str">
        <f>"2117412119011"</f>
        <v>2117412119011</v>
      </c>
      <c r="C147" t="str">
        <f t="shared" si="232"/>
        <v>计机科技21242</v>
      </c>
      <c r="D147" t="str">
        <f t="shared" si="177"/>
        <v>2021</v>
      </c>
      <c r="E147" t="str">
        <f t="shared" si="240"/>
        <v>东莞电研院</v>
      </c>
      <c r="F147" t="str">
        <f t="shared" si="241"/>
        <v>专升本</v>
      </c>
      <c r="G147" t="str">
        <f t="shared" si="233"/>
        <v>计算机科学与技术</v>
      </c>
      <c r="H147" t="str">
        <f t="shared" si="194"/>
        <v>函授</v>
      </c>
      <c r="I147" t="str">
        <f t="shared" si="234"/>
        <v>罗静</v>
      </c>
      <c r="J147" t="str">
        <f>"网络棋牌游戏平台设计"</f>
        <v>网络棋牌游戏平台设计</v>
      </c>
      <c r="K147" t="str">
        <f>"网络棋牌游戏平台"</f>
        <v>网络棋牌游戏平台</v>
      </c>
      <c r="L147" t="str">
        <f>"网络;棋牌游戏;平台设计"</f>
        <v>网络;棋牌游戏;平台设计</v>
      </c>
      <c r="M147" t="str">
        <f>"书面答辩"</f>
        <v>书面答辩</v>
      </c>
      <c r="N147" t="str">
        <f t="shared" si="244"/>
        <v>审核通过</v>
      </c>
      <c r="O147" t="str">
        <f>"罗静"</f>
        <v>罗静</v>
      </c>
      <c r="P147" t="str">
        <f>"2023-06-28 11:05"</f>
        <v>2023-06-28 11:05</v>
      </c>
      <c r="Q147" t="str">
        <f t="shared" ref="Q147:T147" si="247">"通过"</f>
        <v>通过</v>
      </c>
      <c r="R147" t="str">
        <f t="shared" si="247"/>
        <v>通过</v>
      </c>
      <c r="S147" t="str">
        <f t="shared" si="247"/>
        <v>通过</v>
      </c>
      <c r="T147" t="str">
        <f t="shared" si="247"/>
        <v>通过</v>
      </c>
    </row>
    <row r="148" spans="1:20">
      <c r="A148" t="str">
        <f>"李宇凝"</f>
        <v>李宇凝</v>
      </c>
      <c r="B148" t="str">
        <f>"2117412119012"</f>
        <v>2117412119012</v>
      </c>
      <c r="C148" t="str">
        <f t="shared" si="232"/>
        <v>计机科技21242</v>
      </c>
      <c r="D148" t="str">
        <f t="shared" si="177"/>
        <v>2021</v>
      </c>
      <c r="E148" t="str">
        <f t="shared" si="240"/>
        <v>东莞电研院</v>
      </c>
      <c r="F148" t="str">
        <f t="shared" si="241"/>
        <v>专升本</v>
      </c>
      <c r="G148" t="str">
        <f t="shared" si="233"/>
        <v>计算机科学与技术</v>
      </c>
      <c r="H148" t="str">
        <f t="shared" si="194"/>
        <v>函授</v>
      </c>
      <c r="I148" t="str">
        <f>"萧晓栩"</f>
        <v>萧晓栩</v>
      </c>
      <c r="J148" t="str">
        <f>"计算机网络安全以及防范技术"</f>
        <v>计算机网络安全以及防范技术</v>
      </c>
      <c r="K148" t="str">
        <f>"网络安全"</f>
        <v>网络安全</v>
      </c>
      <c r="L148" t="str">
        <f>"计算机网络;安全防范;防范技术"</f>
        <v>计算机网络;安全防范;防范技术</v>
      </c>
      <c r="M148" t="str">
        <f t="shared" si="243"/>
        <v>现场答辩</v>
      </c>
      <c r="N148" t="str">
        <f t="shared" si="244"/>
        <v>审核通过</v>
      </c>
      <c r="O148" t="str">
        <f>"萧晓栩"</f>
        <v>萧晓栩</v>
      </c>
      <c r="P148" t="str">
        <f>"2023-06-30 14:40"</f>
        <v>2023-06-30 14:40</v>
      </c>
      <c r="Q148" t="str">
        <f t="shared" ref="Q148:T148" si="248">"通过"</f>
        <v>通过</v>
      </c>
      <c r="R148" t="str">
        <f t="shared" si="248"/>
        <v>通过</v>
      </c>
      <c r="S148" t="str">
        <f t="shared" si="248"/>
        <v>通过</v>
      </c>
      <c r="T148" t="str">
        <f t="shared" si="248"/>
        <v>通过</v>
      </c>
    </row>
    <row r="149" spans="1:20">
      <c r="A149" t="str">
        <f>"刘锶平"</f>
        <v>刘锶平</v>
      </c>
      <c r="B149" t="str">
        <f>"2117412119015"</f>
        <v>2117412119015</v>
      </c>
      <c r="C149" t="str">
        <f t="shared" si="232"/>
        <v>计机科技21242</v>
      </c>
      <c r="D149" t="str">
        <f t="shared" si="177"/>
        <v>2021</v>
      </c>
      <c r="E149" t="str">
        <f t="shared" si="240"/>
        <v>东莞电研院</v>
      </c>
      <c r="F149" t="str">
        <f t="shared" si="241"/>
        <v>专升本</v>
      </c>
      <c r="G149" t="str">
        <f t="shared" si="233"/>
        <v>计算机科学与技术</v>
      </c>
      <c r="H149" t="str">
        <f t="shared" si="194"/>
        <v>函授</v>
      </c>
      <c r="I149" t="str">
        <f>"萧晓栩"</f>
        <v>萧晓栩</v>
      </c>
      <c r="J149" t="str">
        <f>"基于Java-Web的企业人力资源管理系统的设计与实现"</f>
        <v>基于Java-Web的企业人力资源管理系统的设计与实现</v>
      </c>
      <c r="K149" t="str">
        <f>"人力资源管理系统"</f>
        <v>人力资源管理系统</v>
      </c>
      <c r="L149" t="str">
        <f>"java;web;人力资源管理系统设计"</f>
        <v>java;web;人力资源管理系统设计</v>
      </c>
      <c r="M149" t="str">
        <f t="shared" si="243"/>
        <v>现场答辩</v>
      </c>
      <c r="N149" t="str">
        <f t="shared" si="244"/>
        <v>审核通过</v>
      </c>
      <c r="O149" t="str">
        <f>"萧晓栩"</f>
        <v>萧晓栩</v>
      </c>
      <c r="P149" t="str">
        <f>"2023-06-29 17:13"</f>
        <v>2023-06-29 17:13</v>
      </c>
      <c r="Q149" t="str">
        <f t="shared" ref="Q149:T149" si="249">"通过"</f>
        <v>通过</v>
      </c>
      <c r="R149" t="str">
        <f t="shared" si="249"/>
        <v>通过</v>
      </c>
      <c r="S149" t="str">
        <f t="shared" si="249"/>
        <v>通过</v>
      </c>
      <c r="T149" t="str">
        <f t="shared" si="249"/>
        <v>通过</v>
      </c>
    </row>
    <row r="150" spans="1:20">
      <c r="A150" t="str">
        <f>"王鸿冰"</f>
        <v>王鸿冰</v>
      </c>
      <c r="B150" t="str">
        <f>"2117412119020"</f>
        <v>2117412119020</v>
      </c>
      <c r="C150" t="str">
        <f t="shared" si="232"/>
        <v>计机科技21242</v>
      </c>
      <c r="D150" t="str">
        <f t="shared" si="177"/>
        <v>2021</v>
      </c>
      <c r="E150" t="str">
        <f t="shared" si="240"/>
        <v>东莞电研院</v>
      </c>
      <c r="F150" t="str">
        <f t="shared" si="241"/>
        <v>专升本</v>
      </c>
      <c r="G150" t="str">
        <f t="shared" si="233"/>
        <v>计算机科学与技术</v>
      </c>
      <c r="H150" t="str">
        <f t="shared" si="194"/>
        <v>函授</v>
      </c>
      <c r="I150" t="str">
        <f>"萧晓栩"</f>
        <v>萧晓栩</v>
      </c>
      <c r="J150" t="str">
        <f>"浅谈PHP技术在互联网应用中的开发与实现"</f>
        <v>浅谈PHP技术在互联网应用中的开发与实现</v>
      </c>
      <c r="K150" t="str">
        <f>"PHP技术的应用"</f>
        <v>PHP技术的应用</v>
      </c>
      <c r="L150" t="str">
        <f>"PHP;CMS;Thinkphp;网站开发"</f>
        <v>PHP;CMS;Thinkphp;网站开发</v>
      </c>
      <c r="M150" t="str">
        <f>"书面答辩"</f>
        <v>书面答辩</v>
      </c>
      <c r="N150" t="str">
        <f t="shared" ref="N150:N152" si="250">"审核通过"</f>
        <v>审核通过</v>
      </c>
      <c r="O150" t="str">
        <f>"萧晓栩"</f>
        <v>萧晓栩</v>
      </c>
      <c r="P150" t="str">
        <f>"2023-06-28 10:56"</f>
        <v>2023-06-28 10:56</v>
      </c>
      <c r="Q150" t="str">
        <f t="shared" ref="Q150:T150" si="251">"通过"</f>
        <v>通过</v>
      </c>
      <c r="R150" t="str">
        <f t="shared" si="251"/>
        <v>通过</v>
      </c>
      <c r="S150" t="str">
        <f t="shared" si="251"/>
        <v>通过</v>
      </c>
      <c r="T150" t="str">
        <f t="shared" si="251"/>
        <v>通过</v>
      </c>
    </row>
    <row r="151" spans="1:20">
      <c r="A151" t="str">
        <f>"王健"</f>
        <v>王健</v>
      </c>
      <c r="B151" t="str">
        <f>"2117412119021"</f>
        <v>2117412119021</v>
      </c>
      <c r="C151" t="str">
        <f t="shared" si="232"/>
        <v>计机科技21242</v>
      </c>
      <c r="D151" t="str">
        <f t="shared" si="177"/>
        <v>2021</v>
      </c>
      <c r="E151" t="str">
        <f t="shared" si="240"/>
        <v>东莞电研院</v>
      </c>
      <c r="F151" t="str">
        <f t="shared" si="241"/>
        <v>专升本</v>
      </c>
      <c r="G151" t="str">
        <f t="shared" si="233"/>
        <v>计算机科学与技术</v>
      </c>
      <c r="H151" t="str">
        <f t="shared" si="194"/>
        <v>函授</v>
      </c>
      <c r="I151" t="str">
        <f>"萧晓栩"</f>
        <v>萧晓栩</v>
      </c>
      <c r="J151" t="str">
        <f>"研究学生宿舍局域网建设"</f>
        <v>研究学生宿舍局域网建设</v>
      </c>
      <c r="K151" t="str">
        <f>"网络建设"</f>
        <v>网络建设</v>
      </c>
      <c r="L151" t="str">
        <f>"宿舍;高速快捷;安全保密"</f>
        <v>宿舍;高速快捷;安全保密</v>
      </c>
      <c r="M151" t="str">
        <f>"书面答辩"</f>
        <v>书面答辩</v>
      </c>
      <c r="N151" t="str">
        <f t="shared" si="250"/>
        <v>审核通过</v>
      </c>
      <c r="O151" t="str">
        <f>"萧晓栩"</f>
        <v>萧晓栩</v>
      </c>
      <c r="P151" t="str">
        <f>"2023-07-01 18:51"</f>
        <v>2023-07-01 18:51</v>
      </c>
      <c r="Q151" t="str">
        <f t="shared" ref="Q151:T151" si="252">"通过"</f>
        <v>通过</v>
      </c>
      <c r="R151" t="str">
        <f t="shared" si="252"/>
        <v>通过</v>
      </c>
      <c r="S151" t="str">
        <f t="shared" si="252"/>
        <v>通过</v>
      </c>
      <c r="T151" t="str">
        <f t="shared" si="252"/>
        <v>通过</v>
      </c>
    </row>
    <row r="152" spans="1:20">
      <c r="A152" t="str">
        <f>"吴子豪"</f>
        <v>吴子豪</v>
      </c>
      <c r="B152" t="str">
        <f>"2117412119024"</f>
        <v>2117412119024</v>
      </c>
      <c r="C152" t="str">
        <f t="shared" si="232"/>
        <v>计机科技21242</v>
      </c>
      <c r="D152" t="str">
        <f t="shared" si="177"/>
        <v>2021</v>
      </c>
      <c r="E152" t="str">
        <f t="shared" si="240"/>
        <v>东莞电研院</v>
      </c>
      <c r="F152" t="str">
        <f t="shared" si="241"/>
        <v>专升本</v>
      </c>
      <c r="G152" t="str">
        <f t="shared" si="233"/>
        <v>计算机科学与技术</v>
      </c>
      <c r="H152" t="str">
        <f t="shared" si="194"/>
        <v>函授</v>
      </c>
      <c r="I152" t="str">
        <f>"萧晓栩"</f>
        <v>萧晓栩</v>
      </c>
      <c r="J152" t="str">
        <f>"研究学生信息系统管理与实现"</f>
        <v>研究学生信息系统管理与实现</v>
      </c>
      <c r="K152" t="str">
        <f>"人工智能"</f>
        <v>人工智能</v>
      </c>
      <c r="L152" t="str">
        <f>"AI;人工智能;C语言"</f>
        <v>AI;人工智能;C语言</v>
      </c>
      <c r="M152" t="str">
        <f>"书面答辩"</f>
        <v>书面答辩</v>
      </c>
      <c r="N152" t="str">
        <f t="shared" si="250"/>
        <v>审核通过</v>
      </c>
      <c r="O152" t="str">
        <f>"萧晓栩"</f>
        <v>萧晓栩</v>
      </c>
      <c r="P152" t="str">
        <f>"2023-07-01 18:53"</f>
        <v>2023-07-01 18:53</v>
      </c>
      <c r="Q152" t="str">
        <f t="shared" ref="Q152:T152" si="253">"通过"</f>
        <v>通过</v>
      </c>
      <c r="R152" t="str">
        <f t="shared" si="253"/>
        <v>通过</v>
      </c>
      <c r="S152" t="str">
        <f t="shared" si="253"/>
        <v>通过</v>
      </c>
      <c r="T152" t="str">
        <f t="shared" si="253"/>
        <v>通过</v>
      </c>
    </row>
  </sheetData>
  <autoFilter ref="A1:T152">
    <extLst/>
  </autoFilter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2023级导出学生论文信息2023.10.12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dcterms:created xsi:type="dcterms:W3CDTF">2023-10-12T07:21:00Z</dcterms:created>
  <dcterms:modified xsi:type="dcterms:W3CDTF">2023-10-13T02:09:00Z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93F7E6437DAE4039B4A660F580C9FEA7_13</vt:lpwstr>
  </property>
  <property fmtid="{D5CDD505-2E9C-101B-9397-08002B2CF9AE}" pid="3" name="KSOProductBuildVer">
    <vt:lpwstr>2052-12.1.0.15712</vt:lpwstr>
  </property>
</Properties>
</file>